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1.xml" ContentType="application/vnd.openxmlformats-officedocument.spreadsheetml.pivotTable+xml"/>
  <Override PartName="/xl/drawings/drawing5.xml" ContentType="application/vnd.openxmlformats-officedocument.drawing+xml"/>
  <Override PartName="/xl/slicers/slicer1.xml" ContentType="application/vnd.ms-excel.slicer+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pivotTables/pivotTable2.xml" ContentType="application/vnd.openxmlformats-officedocument.spreadsheetml.pivotTable+xml"/>
  <Override PartName="/xl/drawings/drawing7.xml" ContentType="application/vnd.openxmlformats-officedocument.drawing+xml"/>
  <Override PartName="/xl/slicers/slicer2.xml" ContentType="application/vnd.ms-excel.slicer+xml"/>
  <Override PartName="/xl/pivotTables/pivotTable3.xml" ContentType="application/vnd.openxmlformats-officedocument.spreadsheetml.pivotTable+xml"/>
  <Override PartName="/xl/drawings/drawing8.xml" ContentType="application/vnd.openxmlformats-officedocument.drawing+xml"/>
  <Override PartName="/xl/slicers/slicer3.xml" ContentType="application/vnd.ms-excel.slicer+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omments3.xml" ContentType="application/vnd.openxmlformats-officedocument.spreadsheetml.comment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slicers/slicer4.xml" ContentType="application/vnd.ms-excel.slicer+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xml"/>
  <Override PartName="/xl/slicers/slicer5.xml" ContentType="application/vnd.ms-excel.slicer+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2.xml" ContentType="application/vnd.openxmlformats-officedocument.drawingml.chartshapes+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3.xml" ContentType="application/vnd.openxmlformats-officedocument.drawingml.chartshapes+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hidePivotFieldList="1" defaultThemeVersion="202300"/>
  <mc:AlternateContent xmlns:mc="http://schemas.openxmlformats.org/markup-compatibility/2006">
    <mc:Choice Requires="x15">
      <x15ac:absPath xmlns:x15ac="http://schemas.microsoft.com/office/spreadsheetml/2010/11/ac" url="C:\Users\icarvalho\Desktop\Temp\"/>
    </mc:Choice>
  </mc:AlternateContent>
  <xr:revisionPtr revIDLastSave="0" documentId="8_{E153F9F1-2A3C-4DBB-A422-F970EF632590}" xr6:coauthVersionLast="47" xr6:coauthVersionMax="47" xr10:uidLastSave="{00000000-0000-0000-0000-000000000000}"/>
  <bookViews>
    <workbookView xWindow="-110" yWindow="-110" windowWidth="22780" windowHeight="14540" tabRatio="599" firstSheet="13" activeTab="13" xr2:uid="{E32E98DC-5AF4-46EE-A972-79BB6BC23E48}"/>
  </bookViews>
  <sheets>
    <sheet name="Assets Data" sheetId="1" state="hidden" r:id="rId1"/>
    <sheet name="Liabilities Date" sheetId="3" state="hidden" r:id="rId2"/>
    <sheet name="Net Assets" sheetId="4" state="hidden" r:id="rId3"/>
    <sheet name="Revenue Data" sheetId="6" state="hidden" r:id="rId4"/>
    <sheet name="Revenue PV" sheetId="25" state="hidden" r:id="rId5"/>
    <sheet name="Expenses Data" sheetId="9" state="hidden" r:id="rId6"/>
    <sheet name="Expenses Data Luna" sheetId="18" state="hidden" r:id="rId7"/>
    <sheet name="Expenses PV" sheetId="11" state="hidden" r:id="rId8"/>
    <sheet name="Admin Ratio" sheetId="12" state="hidden" r:id="rId9"/>
    <sheet name="Cash Analysis" sheetId="13" state="hidden" r:id="rId10"/>
    <sheet name="Cash PV" sheetId="24" state="hidden" r:id="rId11"/>
    <sheet name="Luna Analysis" sheetId="17" state="hidden" r:id="rId12"/>
    <sheet name="LUNA CASH" sheetId="26" state="hidden" r:id="rId13"/>
    <sheet name="Dashboard" sheetId="2" r:id="rId14"/>
  </sheets>
  <definedNames>
    <definedName name="Slicer_Category1">#N/A</definedName>
    <definedName name="Slicer_Service_Area">#N/A</definedName>
    <definedName name="Slicer_Total_Revenue1">#N/A</definedName>
  </definedNames>
  <calcPr calcId="191029"/>
  <pivotCaches>
    <pivotCache cacheId="16" r:id="rId15"/>
    <pivotCache cacheId="17" r:id="rId16"/>
    <pivotCache cacheId="18" r:id="rId17"/>
  </pivotCaches>
  <extLst>
    <ext xmlns:x14="http://schemas.microsoft.com/office/spreadsheetml/2009/9/main" uri="{BBE1A952-AA13-448e-AADC-164F8A28A991}">
      <x14:slicerCaches>
        <x14:slicerCache r:id="rId18"/>
        <x14:slicerCache r:id="rId19"/>
        <x14:slicerCache r:id="rId20"/>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26" l="1"/>
  <c r="I12" i="26"/>
  <c r="I11" i="26"/>
  <c r="I10" i="26"/>
  <c r="I9" i="26"/>
  <c r="I8" i="26"/>
  <c r="I7" i="26"/>
  <c r="I6" i="26"/>
  <c r="I5" i="26"/>
  <c r="I4" i="26"/>
  <c r="I3" i="26"/>
  <c r="I2" i="26"/>
  <c r="F5" i="26"/>
  <c r="F6" i="26"/>
  <c r="F9" i="26"/>
  <c r="F13" i="26"/>
  <c r="E13" i="26"/>
  <c r="E12" i="26"/>
  <c r="E11" i="26"/>
  <c r="E10" i="26"/>
  <c r="E9" i="26"/>
  <c r="E8" i="26"/>
  <c r="E7" i="26"/>
  <c r="E6" i="26"/>
  <c r="E5" i="26"/>
  <c r="E4" i="26"/>
  <c r="E3" i="26"/>
  <c r="E2" i="26"/>
  <c r="D13" i="26"/>
  <c r="D12" i="26"/>
  <c r="D11" i="26"/>
  <c r="D10" i="26"/>
  <c r="D9" i="26"/>
  <c r="D8" i="26"/>
  <c r="D7" i="26"/>
  <c r="D6" i="26"/>
  <c r="D5" i="26"/>
  <c r="D4" i="26"/>
  <c r="D3" i="26"/>
  <c r="D2" i="26"/>
  <c r="C13" i="26"/>
  <c r="C12" i="26"/>
  <c r="C11" i="26"/>
  <c r="C10" i="26"/>
  <c r="F10" i="26" s="1"/>
  <c r="C9" i="26"/>
  <c r="C8" i="26"/>
  <c r="C7" i="26"/>
  <c r="C6" i="26"/>
  <c r="C5" i="26"/>
  <c r="C4" i="26"/>
  <c r="C3" i="26"/>
  <c r="C2" i="26"/>
  <c r="B13" i="26"/>
  <c r="B12" i="26"/>
  <c r="F12" i="26" s="1"/>
  <c r="B11" i="26"/>
  <c r="F11" i="26" s="1"/>
  <c r="B10" i="26"/>
  <c r="B9" i="26"/>
  <c r="B8" i="26"/>
  <c r="F8" i="26" s="1"/>
  <c r="B7" i="26"/>
  <c r="F7" i="26" s="1"/>
  <c r="B6" i="26"/>
  <c r="B5" i="26"/>
  <c r="B4" i="26"/>
  <c r="F4" i="26" s="1"/>
  <c r="B3" i="26"/>
  <c r="F3" i="26" s="1"/>
  <c r="B2" i="26"/>
  <c r="F2" i="26" s="1"/>
  <c r="G13" i="26"/>
  <c r="G7" i="26"/>
  <c r="G3" i="26"/>
  <c r="G11" i="26"/>
  <c r="G10" i="26"/>
  <c r="G12" i="26"/>
  <c r="G9" i="26"/>
  <c r="G6" i="26"/>
  <c r="G5" i="26"/>
  <c r="G8" i="26"/>
  <c r="G2" i="26"/>
  <c r="G4" i="26"/>
  <c r="H8" i="26" l="1"/>
  <c r="J8" i="26" s="1"/>
  <c r="B22" i="26" s="1"/>
  <c r="H9" i="26"/>
  <c r="J9" i="26" s="1"/>
  <c r="B23" i="26" s="1"/>
  <c r="H10" i="26"/>
  <c r="J10" i="26" s="1"/>
  <c r="B24" i="26" s="1"/>
  <c r="H12" i="26"/>
  <c r="J12" i="26" s="1"/>
  <c r="B26" i="26" s="1"/>
  <c r="H13" i="26"/>
  <c r="J13" i="26" s="1"/>
  <c r="B27" i="26" s="1"/>
  <c r="H11" i="26"/>
  <c r="J11" i="26" s="1"/>
  <c r="B25" i="26" s="1"/>
  <c r="H7" i="26"/>
  <c r="J7" i="26" s="1"/>
  <c r="B21" i="26" s="1"/>
  <c r="H2" i="26"/>
  <c r="J2" i="26" s="1"/>
  <c r="B16" i="26" s="1"/>
  <c r="H3" i="26"/>
  <c r="J3" i="26" s="1"/>
  <c r="B17" i="26" s="1"/>
  <c r="H4" i="26"/>
  <c r="J4" i="26" s="1"/>
  <c r="B18" i="26" s="1"/>
  <c r="H5" i="26"/>
  <c r="J5" i="26" s="1"/>
  <c r="B19" i="26" s="1"/>
  <c r="H6" i="26"/>
  <c r="J6" i="26" s="1"/>
  <c r="B20" i="26" s="1"/>
  <c r="B6" i="9"/>
  <c r="B15" i="6"/>
  <c r="C49" i="17"/>
  <c r="D49" i="17"/>
  <c r="E49" i="17"/>
  <c r="F49" i="17"/>
  <c r="G49" i="17"/>
  <c r="H49" i="17"/>
  <c r="I49" i="17"/>
  <c r="J49" i="17"/>
  <c r="K49" i="17"/>
  <c r="L49" i="17"/>
  <c r="M49" i="17"/>
  <c r="B49" i="17"/>
  <c r="C46" i="17"/>
  <c r="D46" i="17"/>
  <c r="E46" i="17"/>
  <c r="F46" i="17"/>
  <c r="G46" i="17"/>
  <c r="H46" i="17"/>
  <c r="I46" i="17"/>
  <c r="J46" i="17"/>
  <c r="K46" i="17"/>
  <c r="L46" i="17"/>
  <c r="M46" i="17"/>
  <c r="B46" i="17"/>
  <c r="C45" i="17"/>
  <c r="D45" i="17"/>
  <c r="E45" i="17"/>
  <c r="F45" i="17"/>
  <c r="G45" i="17"/>
  <c r="H45" i="17"/>
  <c r="I45" i="17"/>
  <c r="J45" i="17"/>
  <c r="K45" i="17"/>
  <c r="L45" i="17"/>
  <c r="M45" i="17"/>
  <c r="B45" i="17"/>
  <c r="C44" i="17"/>
  <c r="D44" i="17"/>
  <c r="E44" i="17"/>
  <c r="F44" i="17"/>
  <c r="G44" i="17"/>
  <c r="H44" i="17"/>
  <c r="I44" i="17"/>
  <c r="J44" i="17"/>
  <c r="K44" i="17"/>
  <c r="L44" i="17"/>
  <c r="M44" i="17"/>
  <c r="B44" i="17"/>
  <c r="M33" i="13"/>
  <c r="L33" i="13"/>
  <c r="K33" i="13"/>
  <c r="J33" i="13"/>
  <c r="I33" i="13"/>
  <c r="H33" i="13"/>
  <c r="G33" i="13"/>
  <c r="F33" i="13"/>
  <c r="E33" i="13"/>
  <c r="D33" i="13"/>
  <c r="C33" i="13"/>
  <c r="B33" i="13"/>
  <c r="C25" i="13"/>
  <c r="D25" i="13"/>
  <c r="E25" i="13"/>
  <c r="F25" i="13"/>
  <c r="G25" i="13"/>
  <c r="H25" i="13"/>
  <c r="I25" i="13"/>
  <c r="J25" i="13"/>
  <c r="K25" i="13"/>
  <c r="L25" i="13"/>
  <c r="M25" i="13"/>
  <c r="B25" i="13"/>
  <c r="C24" i="13"/>
  <c r="D24" i="13"/>
  <c r="E24" i="13"/>
  <c r="F24" i="13"/>
  <c r="G24" i="13"/>
  <c r="H24" i="13"/>
  <c r="I24" i="13"/>
  <c r="J24" i="13"/>
  <c r="K24" i="13"/>
  <c r="L24" i="13"/>
  <c r="M24" i="13"/>
  <c r="B24" i="13"/>
  <c r="D23" i="17"/>
  <c r="F23" i="17"/>
  <c r="L23" i="17"/>
  <c r="B23" i="17"/>
  <c r="C21" i="17"/>
  <c r="C23" i="17" s="1"/>
  <c r="D21" i="17"/>
  <c r="E21" i="17"/>
  <c r="E23" i="17" s="1"/>
  <c r="F21" i="17"/>
  <c r="G21" i="17"/>
  <c r="G23" i="17" s="1"/>
  <c r="H21" i="17"/>
  <c r="H23" i="17" s="1"/>
  <c r="I21" i="17"/>
  <c r="I23" i="17" s="1"/>
  <c r="J21" i="17"/>
  <c r="J23" i="17" s="1"/>
  <c r="K21" i="17"/>
  <c r="K23" i="17" s="1"/>
  <c r="L21" i="17"/>
  <c r="M21" i="17"/>
  <c r="M23" i="17" s="1"/>
  <c r="B21" i="17"/>
  <c r="C6" i="18"/>
  <c r="D6" i="18"/>
  <c r="E6" i="18"/>
  <c r="F6" i="18"/>
  <c r="G6" i="18"/>
  <c r="H6" i="18"/>
  <c r="I6" i="18"/>
  <c r="J6" i="18"/>
  <c r="K6" i="18"/>
  <c r="L6" i="18"/>
  <c r="M6" i="18"/>
  <c r="B6" i="18"/>
  <c r="C17" i="17"/>
  <c r="D17" i="17"/>
  <c r="E17" i="17"/>
  <c r="F17" i="17"/>
  <c r="G17" i="17"/>
  <c r="H17" i="17"/>
  <c r="I17" i="17"/>
  <c r="J17" i="17"/>
  <c r="K17" i="17"/>
  <c r="L17" i="17"/>
  <c r="M17" i="17"/>
  <c r="B17" i="17"/>
  <c r="C12" i="17"/>
  <c r="C16" i="17" s="1"/>
  <c r="C20" i="17" s="1"/>
  <c r="C26" i="17" s="1"/>
  <c r="D12" i="17"/>
  <c r="E12" i="17"/>
  <c r="E16" i="17" s="1"/>
  <c r="E20" i="17" s="1"/>
  <c r="F12" i="17"/>
  <c r="F16" i="17" s="1"/>
  <c r="F20" i="17" s="1"/>
  <c r="F26" i="17" s="1"/>
  <c r="G12" i="17"/>
  <c r="G16" i="17" s="1"/>
  <c r="G20" i="17" s="1"/>
  <c r="G26" i="17" s="1"/>
  <c r="H12" i="17"/>
  <c r="H16" i="17" s="1"/>
  <c r="H20" i="17" s="1"/>
  <c r="I12" i="17"/>
  <c r="I16" i="17" s="1"/>
  <c r="I20" i="17" s="1"/>
  <c r="I26" i="17" s="1"/>
  <c r="J12" i="17"/>
  <c r="K12" i="17"/>
  <c r="K16" i="17" s="1"/>
  <c r="K20" i="17" s="1"/>
  <c r="K26" i="17" s="1"/>
  <c r="L12" i="17"/>
  <c r="L16" i="17" s="1"/>
  <c r="L20" i="17" s="1"/>
  <c r="L26" i="17" s="1"/>
  <c r="B12" i="17"/>
  <c r="B16" i="17" s="1"/>
  <c r="B20" i="17" s="1"/>
  <c r="B26" i="17" s="1"/>
  <c r="M4" i="17"/>
  <c r="M6" i="17" s="1"/>
  <c r="C8" i="17"/>
  <c r="C13" i="17" s="1"/>
  <c r="D8" i="17"/>
  <c r="D13" i="17" s="1"/>
  <c r="E8" i="17"/>
  <c r="E13" i="17" s="1"/>
  <c r="E14" i="17" s="1"/>
  <c r="F8" i="17"/>
  <c r="F13" i="17" s="1"/>
  <c r="F14" i="17" s="1"/>
  <c r="G8" i="17"/>
  <c r="G13" i="17" s="1"/>
  <c r="H8" i="17"/>
  <c r="H13" i="17" s="1"/>
  <c r="I8" i="17"/>
  <c r="I13" i="17" s="1"/>
  <c r="J8" i="17"/>
  <c r="J13" i="17" s="1"/>
  <c r="K8" i="17"/>
  <c r="K13" i="17" s="1"/>
  <c r="K14" i="17" s="1"/>
  <c r="L8" i="17"/>
  <c r="L13" i="17" s="1"/>
  <c r="L14" i="17" s="1"/>
  <c r="M8" i="17"/>
  <c r="M13" i="17" s="1"/>
  <c r="B8" i="17"/>
  <c r="B13" i="17" s="1"/>
  <c r="L6" i="17"/>
  <c r="K6" i="17"/>
  <c r="J6" i="17"/>
  <c r="I6" i="17"/>
  <c r="H6" i="17"/>
  <c r="G6" i="17"/>
  <c r="F6" i="17"/>
  <c r="E6" i="17"/>
  <c r="D6" i="17"/>
  <c r="C6" i="17"/>
  <c r="B6" i="17"/>
  <c r="B17" i="24"/>
  <c r="B10" i="25"/>
  <c r="B12" i="25" l="1"/>
  <c r="P36" i="2"/>
  <c r="H26" i="17"/>
  <c r="E26" i="17"/>
  <c r="I14" i="17"/>
  <c r="M12" i="17"/>
  <c r="M16" i="17" s="1"/>
  <c r="M20" i="17" s="1"/>
  <c r="M26" i="17" s="1"/>
  <c r="G14" i="17"/>
  <c r="D14" i="17"/>
  <c r="D16" i="17"/>
  <c r="D20" i="17" s="1"/>
  <c r="D26" i="17" s="1"/>
  <c r="J14" i="17"/>
  <c r="J16" i="17"/>
  <c r="J20" i="17" s="1"/>
  <c r="J26" i="17" s="1"/>
  <c r="C14" i="17"/>
  <c r="H14" i="17"/>
  <c r="M14" i="17"/>
  <c r="B14" i="17"/>
  <c r="F26" i="13" l="1"/>
  <c r="B20" i="13"/>
  <c r="B27" i="13" s="1"/>
  <c r="C20" i="13"/>
  <c r="C27" i="13" s="1"/>
  <c r="D20" i="13"/>
  <c r="D27" i="13" s="1"/>
  <c r="E20" i="13"/>
  <c r="E27" i="13" s="1"/>
  <c r="F20" i="13"/>
  <c r="F27" i="13" s="1"/>
  <c r="G20" i="13"/>
  <c r="G26" i="13" s="1"/>
  <c r="H20" i="13"/>
  <c r="H27" i="13" s="1"/>
  <c r="I17" i="13"/>
  <c r="J17" i="13" s="1"/>
  <c r="K17" i="13" s="1"/>
  <c r="L17" i="13" s="1"/>
  <c r="M17" i="13" s="1"/>
  <c r="M20" i="13" s="1"/>
  <c r="M27" i="13" s="1"/>
  <c r="M29" i="13" s="1"/>
  <c r="B13" i="13"/>
  <c r="C13" i="13"/>
  <c r="D13" i="13"/>
  <c r="E13" i="13"/>
  <c r="F13" i="13"/>
  <c r="H13" i="13"/>
  <c r="I13" i="13"/>
  <c r="J13" i="13"/>
  <c r="K13" i="13"/>
  <c r="L13" i="13"/>
  <c r="M13" i="13"/>
  <c r="B14" i="13"/>
  <c r="C14" i="13"/>
  <c r="D14" i="13"/>
  <c r="E14" i="13"/>
  <c r="F14" i="13"/>
  <c r="H14" i="13"/>
  <c r="I14" i="13"/>
  <c r="J14" i="13"/>
  <c r="K14" i="13"/>
  <c r="L14" i="13"/>
  <c r="M14" i="13"/>
  <c r="B15" i="13"/>
  <c r="C15" i="13"/>
  <c r="D15" i="13"/>
  <c r="E15" i="13"/>
  <c r="F15" i="13"/>
  <c r="G15" i="13"/>
  <c r="H15" i="13"/>
  <c r="I15" i="13"/>
  <c r="J15" i="13"/>
  <c r="K15" i="13"/>
  <c r="L15" i="13"/>
  <c r="M15" i="13"/>
  <c r="G5" i="13"/>
  <c r="G14" i="13" s="1"/>
  <c r="G4" i="13"/>
  <c r="G13" i="13" s="1"/>
  <c r="G27" i="13" l="1"/>
  <c r="G28" i="13" s="1"/>
  <c r="H26" i="13"/>
  <c r="H28" i="13"/>
  <c r="F28" i="13"/>
  <c r="L20" i="13"/>
  <c r="E26" i="13"/>
  <c r="E28" i="13" s="1"/>
  <c r="K20" i="13"/>
  <c r="D26" i="13"/>
  <c r="D28" i="13" s="1"/>
  <c r="M26" i="13"/>
  <c r="M28" i="13" s="1"/>
  <c r="J20" i="13"/>
  <c r="C26" i="13"/>
  <c r="C28" i="13" s="1"/>
  <c r="I20" i="13"/>
  <c r="B26" i="13"/>
  <c r="B28" i="13" s="1"/>
  <c r="J26" i="13" l="1"/>
  <c r="J28" i="13" s="1"/>
  <c r="J27" i="13"/>
  <c r="K26" i="13"/>
  <c r="K27" i="13"/>
  <c r="L26" i="13"/>
  <c r="L27" i="13"/>
  <c r="I27" i="13"/>
  <c r="I26" i="13"/>
  <c r="I28" i="13" s="1"/>
  <c r="L28" i="13" l="1"/>
  <c r="K28" i="13"/>
  <c r="B10" i="12" l="1"/>
  <c r="B6" i="12"/>
  <c r="B8" i="12" s="1"/>
  <c r="B11" i="12" s="1"/>
  <c r="B12" i="12" s="1"/>
  <c r="P43" i="2" s="1"/>
  <c r="B4" i="12"/>
  <c r="B2" i="12"/>
  <c r="A9" i="11"/>
  <c r="A10" i="11" s="1"/>
  <c r="B12" i="9"/>
  <c r="C12" i="9" s="1"/>
  <c r="B11" i="9"/>
  <c r="C11" i="9" s="1"/>
  <c r="B10" i="9"/>
  <c r="B7" i="9"/>
  <c r="C25" i="6"/>
  <c r="D25" i="6"/>
  <c r="E24" i="6"/>
  <c r="E23" i="6"/>
  <c r="B25" i="6"/>
  <c r="E14" i="6"/>
  <c r="E15" i="6"/>
  <c r="B32" i="6" s="1"/>
  <c r="E16" i="6"/>
  <c r="B31" i="6" s="1"/>
  <c r="E17" i="6"/>
  <c r="B30" i="6" s="1"/>
  <c r="E18" i="6"/>
  <c r="E19" i="6"/>
  <c r="E13" i="6"/>
  <c r="B29" i="6" s="1"/>
  <c r="C20" i="6"/>
  <c r="D20" i="6"/>
  <c r="B20" i="6"/>
  <c r="A11" i="11" l="1"/>
  <c r="B33" i="6"/>
  <c r="P39" i="2"/>
  <c r="E25" i="6"/>
  <c r="E20" i="6"/>
  <c r="B10" i="4"/>
  <c r="P41" i="2" l="1"/>
  <c r="P37" i="2"/>
  <c r="B11" i="25"/>
  <c r="B9" i="4"/>
  <c r="B8" i="4"/>
  <c r="B16" i="3"/>
  <c r="C16" i="3"/>
  <c r="F16" i="3"/>
  <c r="J16" i="3"/>
  <c r="K16" i="3"/>
  <c r="L16" i="3"/>
  <c r="M12" i="3"/>
  <c r="M16" i="3" s="1"/>
  <c r="B4" i="4" s="1"/>
  <c r="L12" i="3"/>
  <c r="K12" i="3"/>
  <c r="J12" i="3"/>
  <c r="I12" i="3"/>
  <c r="I16" i="3" s="1"/>
  <c r="H12" i="3"/>
  <c r="H16" i="3" s="1"/>
  <c r="G12" i="3"/>
  <c r="G16" i="3" s="1"/>
  <c r="F12" i="3"/>
  <c r="E12" i="3"/>
  <c r="E16" i="3" s="1"/>
  <c r="D12" i="3"/>
  <c r="D16" i="3" s="1"/>
  <c r="C12" i="3"/>
  <c r="B12" i="3"/>
  <c r="M30" i="13" l="1"/>
  <c r="B13" i="4"/>
  <c r="B18" i="4" s="1"/>
  <c r="M13" i="1"/>
  <c r="M18" i="1" s="1"/>
  <c r="B3" i="4" s="1"/>
  <c r="B6" i="4" s="1"/>
  <c r="B17" i="4" s="1"/>
  <c r="B19" i="4" s="1"/>
  <c r="L13" i="1"/>
  <c r="L18" i="1" s="1"/>
  <c r="K13" i="1"/>
  <c r="K18" i="1" s="1"/>
  <c r="J13" i="1"/>
  <c r="J18" i="1" s="1"/>
  <c r="I13" i="1"/>
  <c r="I18" i="1" s="1"/>
  <c r="H13" i="1"/>
  <c r="H18" i="1" s="1"/>
  <c r="G13" i="1"/>
  <c r="G18" i="1" s="1"/>
  <c r="F13" i="1"/>
  <c r="F18" i="1" s="1"/>
  <c r="E13" i="1"/>
  <c r="E18" i="1" s="1"/>
  <c r="D13" i="1"/>
  <c r="D18" i="1" s="1"/>
  <c r="C13" i="1"/>
  <c r="C18" i="1" s="1"/>
  <c r="B13" i="1"/>
  <c r="B1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Sequitta Black</author>
  </authors>
  <commentList>
    <comment ref="M4" authorId="0" shapeId="0" xr:uid="{9926D9A5-3D49-4CE5-9CFE-ECBEE598CE2A}">
      <text>
        <r>
          <rPr>
            <b/>
            <sz val="9"/>
            <color indexed="81"/>
            <rFont val="Tahoma"/>
            <family val="2"/>
          </rPr>
          <t>Sequitta Black:</t>
        </r>
        <r>
          <rPr>
            <sz val="9"/>
            <color indexed="81"/>
            <rFont val="Tahoma"/>
            <family val="2"/>
          </rPr>
          <t xml:space="preserve">
12100-12610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nporter</author>
    <author>Sequitta Black</author>
  </authors>
  <commentList>
    <comment ref="A3" authorId="0" shapeId="0" xr:uid="{F4224B7A-189E-4420-9B54-D38117CE6486}">
      <text>
        <r>
          <rPr>
            <b/>
            <sz val="8"/>
            <color indexed="81"/>
            <rFont val="Tahoma"/>
            <family val="2"/>
          </rPr>
          <t>Definition: Debts that must be paid off with in the year</t>
        </r>
      </text>
    </comment>
    <comment ref="M6" authorId="1" shapeId="0" xr:uid="{3018BADE-274F-42B1-A6A6-0FF2EFA8C61F}">
      <text>
        <r>
          <rPr>
            <b/>
            <sz val="9"/>
            <color indexed="81"/>
            <rFont val="Tahoma"/>
            <family val="2"/>
          </rPr>
          <t>Sequitta Black:</t>
        </r>
        <r>
          <rPr>
            <sz val="9"/>
            <color indexed="81"/>
            <rFont val="Tahoma"/>
            <family val="2"/>
          </rPr>
          <t xml:space="preserve">
32550,33100</t>
        </r>
      </text>
    </comment>
    <comment ref="A7" authorId="0" shapeId="0" xr:uid="{6B2A55CD-84C4-48E7-865D-7414E8CDBCD2}">
      <text>
        <r>
          <rPr>
            <b/>
            <sz val="8"/>
            <color indexed="81"/>
            <rFont val="Tahoma"/>
            <family val="2"/>
          </rPr>
          <t>Definition: debts that are not due for at least a year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nporter</author>
  </authors>
  <commentList>
    <comment ref="M5" authorId="0" shapeId="0" xr:uid="{2E4F4D4B-611F-486C-8143-DFE892CE42D2}">
      <text>
        <r>
          <rPr>
            <b/>
            <sz val="8"/>
            <color indexed="81"/>
            <rFont val="Tahoma"/>
            <family val="2"/>
          </rPr>
          <t>LY temp rest + CY temp</t>
        </r>
        <r>
          <rPr>
            <sz val="8"/>
            <color indexed="81"/>
            <rFont val="Tahoma"/>
            <family val="2"/>
          </rPr>
          <t xml:space="preserve">
</t>
        </r>
      </text>
    </comment>
    <comment ref="M13" authorId="0" shapeId="0" xr:uid="{2000E8E3-BA1B-42C7-AE34-F5EFBF551BF9}">
      <text>
        <r>
          <rPr>
            <b/>
            <sz val="8"/>
            <color indexed="81"/>
            <rFont val="Tahoma"/>
            <family val="2"/>
          </rPr>
          <t>LY temp rest + CY temp</t>
        </r>
        <r>
          <rPr>
            <sz val="8"/>
            <color indexed="81"/>
            <rFont val="Tahoma"/>
            <family val="2"/>
          </rPr>
          <t xml:space="preserve">
</t>
        </r>
      </text>
    </comment>
  </commentList>
</comments>
</file>

<file path=xl/sharedStrings.xml><?xml version="1.0" encoding="utf-8"?>
<sst xmlns="http://schemas.openxmlformats.org/spreadsheetml/2006/main" count="191" uniqueCount="122">
  <si>
    <t>Current Assets:</t>
  </si>
  <si>
    <t xml:space="preserve">   Cash - Unrestricted</t>
  </si>
  <si>
    <t xml:space="preserve">   Accounts Receivable, net</t>
  </si>
  <si>
    <t>Noncurrent Assets:</t>
  </si>
  <si>
    <t xml:space="preserve">   Cash  - Restricted</t>
  </si>
  <si>
    <t xml:space="preserve">   ADOM Receivable</t>
  </si>
  <si>
    <t xml:space="preserve">   Shubert Trust ADOM Receivable</t>
  </si>
  <si>
    <t xml:space="preserve">   Deposits and Prepaid Expenses</t>
  </si>
  <si>
    <t xml:space="preserve">   Investments - Restricted</t>
  </si>
  <si>
    <t xml:space="preserve">   Right-of-use-asset - operating</t>
  </si>
  <si>
    <t xml:space="preserve">   Property and equipment, net</t>
  </si>
  <si>
    <t xml:space="preserve">      Total Assets</t>
  </si>
  <si>
    <t>Invenstment Including Endowment</t>
  </si>
  <si>
    <t xml:space="preserve">      Total Net Assets</t>
  </si>
  <si>
    <t>Liabilities &amp; Net Assets</t>
  </si>
  <si>
    <t>Current Liabilities:</t>
  </si>
  <si>
    <t xml:space="preserve">   Accounts Payable &amp; Accrued Expenses</t>
  </si>
  <si>
    <t xml:space="preserve">   Line of Credit</t>
  </si>
  <si>
    <t xml:space="preserve">   Deferred Income</t>
  </si>
  <si>
    <t>Long-term Liabilities:</t>
  </si>
  <si>
    <t xml:space="preserve">   Amounts held on behalf of others</t>
  </si>
  <si>
    <t xml:space="preserve">   Refundable advance</t>
  </si>
  <si>
    <t xml:space="preserve">   Note Payable</t>
  </si>
  <si>
    <t xml:space="preserve">   Right-of-use-liability - operating</t>
  </si>
  <si>
    <t xml:space="preserve">      Total Liabilities</t>
  </si>
  <si>
    <t>Current</t>
  </si>
  <si>
    <t>Without Donor Restrictions</t>
  </si>
  <si>
    <t>With Donor Restrictions</t>
  </si>
  <si>
    <t>Assets</t>
  </si>
  <si>
    <t>Liabilities</t>
  </si>
  <si>
    <t>Net</t>
  </si>
  <si>
    <t>Restricted Cash</t>
  </si>
  <si>
    <t>Day One</t>
  </si>
  <si>
    <t>Interest on Day one</t>
  </si>
  <si>
    <t>Day one expenses</t>
  </si>
  <si>
    <t>Total Restricted</t>
  </si>
  <si>
    <t xml:space="preserve">Net Assets </t>
  </si>
  <si>
    <t>Total</t>
  </si>
  <si>
    <t>Revenue and other support</t>
  </si>
  <si>
    <t>Expenses</t>
  </si>
  <si>
    <t xml:space="preserve">            Community Based Services</t>
  </si>
  <si>
    <t xml:space="preserve">            Child Development Services</t>
  </si>
  <si>
    <t xml:space="preserve">            Ministries</t>
  </si>
  <si>
    <t xml:space="preserve">            General Admin and Fund Raising</t>
  </si>
  <si>
    <t>Without Donor</t>
  </si>
  <si>
    <t>With Donor</t>
  </si>
  <si>
    <t>Restrictions</t>
  </si>
  <si>
    <t>Contributions, foundations, trusts and bequests</t>
  </si>
  <si>
    <t>United Way</t>
  </si>
  <si>
    <t>Contributed facilities, goods and services</t>
  </si>
  <si>
    <t>Grants from government agencies and others</t>
  </si>
  <si>
    <t>Program service fees</t>
  </si>
  <si>
    <t>Other income</t>
  </si>
  <si>
    <t>Satisfaction of program restrictions</t>
  </si>
  <si>
    <t>Total Revenue and Support</t>
  </si>
  <si>
    <t>Gifts Restricted</t>
  </si>
  <si>
    <t>in Perpetuity</t>
  </si>
  <si>
    <t>Total Revenue and Support from Non operating Activities</t>
  </si>
  <si>
    <t>Investment gain, net of fees</t>
  </si>
  <si>
    <t>Contributed property and gain on asset exchange</t>
  </si>
  <si>
    <t>Other Revenue and Support</t>
  </si>
  <si>
    <t>Grants</t>
  </si>
  <si>
    <t>Grand Total</t>
  </si>
  <si>
    <t>Row Labels</t>
  </si>
  <si>
    <t>Total Revenue</t>
  </si>
  <si>
    <t>Total Expenses</t>
  </si>
  <si>
    <t>Community Based Services</t>
  </si>
  <si>
    <t>Child Development Services</t>
  </si>
  <si>
    <t>General Admin, Fund Raising &amp; Ministries</t>
  </si>
  <si>
    <t>Service Area</t>
  </si>
  <si>
    <t>Total Expenses to Date</t>
  </si>
  <si>
    <t>Change in Net Assets to date</t>
  </si>
  <si>
    <t>Total Programmatic Expenses</t>
  </si>
  <si>
    <t>In-Kind</t>
  </si>
  <si>
    <t>Net Programmatic</t>
  </si>
  <si>
    <t>Total Admin Expenses</t>
  </si>
  <si>
    <t>Net Admin</t>
  </si>
  <si>
    <t>Admin Expense Ratio</t>
  </si>
  <si>
    <t>Administration Expense Ratio</t>
  </si>
  <si>
    <t>Catholic Charities of the Archdiocese of Miami, Inc</t>
  </si>
  <si>
    <t>Financial Dashboard for FY 23-24</t>
  </si>
  <si>
    <t xml:space="preserve">Total Revenue to Date </t>
  </si>
  <si>
    <t>Bezos Restricted</t>
  </si>
  <si>
    <t xml:space="preserve">   ADOM Interest</t>
  </si>
  <si>
    <t xml:space="preserve">   ADOM Expenses</t>
  </si>
  <si>
    <t>Values</t>
  </si>
  <si>
    <t>10/31/23</t>
  </si>
  <si>
    <t>11/30/23</t>
  </si>
  <si>
    <t>12/31/23</t>
  </si>
  <si>
    <t>1/31/24</t>
  </si>
  <si>
    <t>2/29/24</t>
  </si>
  <si>
    <t>3/31/24</t>
  </si>
  <si>
    <t>4/30/24</t>
  </si>
  <si>
    <t>5/31/24</t>
  </si>
  <si>
    <t>6/30/24</t>
  </si>
  <si>
    <t>Category</t>
  </si>
  <si>
    <t>7/31/23</t>
  </si>
  <si>
    <t>8/31/23</t>
  </si>
  <si>
    <t>9/30/23</t>
  </si>
  <si>
    <t>Unrestricted Net Assets</t>
  </si>
  <si>
    <t>Net Assets</t>
  </si>
  <si>
    <t>Equity on Fixed Assets</t>
  </si>
  <si>
    <t>Liability on Fixed Assets</t>
  </si>
  <si>
    <t>LUNA</t>
  </si>
  <si>
    <t># of Months</t>
  </si>
  <si>
    <t>Average monthly expenses</t>
  </si>
  <si>
    <t>Months of Unrestricted Net Assets (LUNA)</t>
  </si>
  <si>
    <t xml:space="preserve">   ADOM Receivable Unrestricted</t>
  </si>
  <si>
    <t xml:space="preserve">   ADOM Receivable Restricted</t>
  </si>
  <si>
    <t>Months of Unrestricted Cash</t>
  </si>
  <si>
    <t>(All)</t>
  </si>
  <si>
    <t>Sum of Total</t>
  </si>
  <si>
    <t>Total Non Operating Activities</t>
  </si>
  <si>
    <t>We serve people not because they are Catholic; We serve people because we are Catholic.©</t>
  </si>
  <si>
    <t>Unrestricted Cash</t>
  </si>
  <si>
    <t>Restricted ADOM</t>
  </si>
  <si>
    <t>Unrestricted ADOM</t>
  </si>
  <si>
    <t>Total Cash</t>
  </si>
  <si>
    <t>Date</t>
  </si>
  <si>
    <t>PV</t>
  </si>
  <si>
    <t>Untrestricted Cash</t>
  </si>
  <si>
    <t xml:space="preserve">Expenses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</si>
</sst>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4" formatCode="_(&quot;$&quot;* #,##0.00_);_(&quot;$&quot;* \(#,##0.00\);_(&quot;$&quot;* &quot;-&quot;??_);_(@_)"/>
    <numFmt numFmtId="43" formatCode="_(* #,##0.00_);_(* \(#,##0.00\);_(* &quot;-&quot;??_);_(@_)"/>
    <numFmt numFmtId="164" formatCode="_(&quot;$&quot;* #,##0_);_(&quot;$&quot;* \(#,##0\);_(&quot;$&quot;* &quot;-&quot;??_);_(@_)"/>
    <numFmt numFmtId="165" formatCode="###,##0_);[Red]\(###,##0\)"/>
    <numFmt numFmtId="166" formatCode="_(* #,##0_);_(* \(#,##0\);_(* &quot;-&quot;??_);_(@_)"/>
    <numFmt numFmtId="167" formatCode="0.00,,&quot;M&quot;"/>
    <numFmt numFmtId="168" formatCode="0.0%"/>
  </numFmts>
  <fonts count="23" x14ac:knownFonts="1">
    <font>
      <sz val="11"/>
      <color theme="1"/>
      <name val="Aptos Narrow"/>
      <family val="2"/>
      <scheme val="minor"/>
    </font>
    <font>
      <sz val="11"/>
      <color theme="1"/>
      <name val="Aptos Narrow"/>
      <family val="2"/>
      <scheme val="minor"/>
    </font>
    <font>
      <b/>
      <sz val="11"/>
      <color theme="1"/>
      <name val="Aptos Narrow"/>
      <family val="2"/>
      <scheme val="minor"/>
    </font>
    <font>
      <b/>
      <u val="double"/>
      <sz val="11"/>
      <color theme="1"/>
      <name val="Aptos Narrow"/>
      <family val="2"/>
      <scheme val="minor"/>
    </font>
    <font>
      <sz val="8"/>
      <name val="Times New Roman"/>
      <family val="1"/>
    </font>
    <font>
      <sz val="10"/>
      <name val="Arial"/>
      <family val="2"/>
    </font>
    <font>
      <b/>
      <sz val="9"/>
      <color indexed="81"/>
      <name val="Tahoma"/>
      <family val="2"/>
    </font>
    <font>
      <sz val="9"/>
      <color indexed="81"/>
      <name val="Tahoma"/>
      <family val="2"/>
    </font>
    <font>
      <b/>
      <sz val="10"/>
      <name val="Arial"/>
      <family val="2"/>
    </font>
    <font>
      <b/>
      <sz val="8"/>
      <color indexed="81"/>
      <name val="Tahoma"/>
      <family val="2"/>
    </font>
    <font>
      <b/>
      <i/>
      <sz val="10"/>
      <name val="Arial"/>
      <family val="2"/>
    </font>
    <font>
      <sz val="8"/>
      <color theme="1"/>
      <name val="Tahoma"/>
      <family val="2"/>
    </font>
    <font>
      <sz val="10"/>
      <color theme="1"/>
      <name val="Arial"/>
      <family val="2"/>
    </font>
    <font>
      <sz val="10"/>
      <color indexed="8"/>
      <name val="Arial"/>
      <family val="2"/>
    </font>
    <font>
      <sz val="11"/>
      <color theme="0"/>
      <name val="Aptos Narrow"/>
      <family val="2"/>
      <scheme val="minor"/>
    </font>
    <font>
      <b/>
      <sz val="16"/>
      <color rgb="FF7030A0"/>
      <name val="Aptos Narrow"/>
      <family val="2"/>
      <scheme val="minor"/>
    </font>
    <font>
      <b/>
      <sz val="11"/>
      <color rgb="FF7030A0"/>
      <name val="Aptos Narrow"/>
      <family val="2"/>
      <scheme val="minor"/>
    </font>
    <font>
      <sz val="8"/>
      <color indexed="81"/>
      <name val="Tahoma"/>
      <family val="2"/>
    </font>
    <font>
      <b/>
      <sz val="16"/>
      <color theme="0"/>
      <name val="Aptos Narrow"/>
      <family val="2"/>
      <scheme val="minor"/>
    </font>
    <font>
      <sz val="16"/>
      <color theme="0"/>
      <name val="Aptos Narrow"/>
      <family val="2"/>
      <scheme val="minor"/>
    </font>
    <font>
      <u val="double"/>
      <sz val="11"/>
      <color theme="1"/>
      <name val="Aptos Narrow"/>
      <family val="2"/>
      <scheme val="minor"/>
    </font>
    <font>
      <b/>
      <sz val="20"/>
      <color rgb="FF633164"/>
      <name val="Arial Rounded MT Bold"/>
      <family val="2"/>
    </font>
    <font>
      <b/>
      <i/>
      <sz val="12"/>
      <color rgb="FF633164"/>
      <name val="Source Sans Pro"/>
      <family val="2"/>
    </font>
  </fonts>
  <fills count="5">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rgb="FF633164"/>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7030A0"/>
      </left>
      <right/>
      <top style="medium">
        <color rgb="FF7030A0"/>
      </top>
      <bottom/>
      <diagonal/>
    </border>
    <border>
      <left/>
      <right/>
      <top style="medium">
        <color rgb="FF7030A0"/>
      </top>
      <bottom/>
      <diagonal/>
    </border>
    <border>
      <left/>
      <right style="medium">
        <color rgb="FF7030A0"/>
      </right>
      <top style="medium">
        <color rgb="FF7030A0"/>
      </top>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right style="medium">
        <color rgb="FF7030A0"/>
      </right>
      <top/>
      <bottom/>
      <diagonal/>
    </border>
    <border>
      <left style="medium">
        <color rgb="FF7030A0"/>
      </left>
      <right/>
      <top/>
      <bottom/>
      <diagonal/>
    </border>
    <border>
      <left style="thin">
        <color indexed="64"/>
      </left>
      <right style="thin">
        <color indexed="64"/>
      </right>
      <top style="thin">
        <color indexed="64"/>
      </top>
      <bottom style="thin">
        <color indexed="64"/>
      </bottom>
      <diagonal/>
    </border>
    <border>
      <left style="thin">
        <color rgb="FF633164"/>
      </left>
      <right/>
      <top style="thin">
        <color rgb="FF633164"/>
      </top>
      <bottom/>
      <diagonal/>
    </border>
    <border>
      <left/>
      <right/>
      <top style="thin">
        <color rgb="FF633164"/>
      </top>
      <bottom/>
      <diagonal/>
    </border>
    <border>
      <left/>
      <right style="thin">
        <color rgb="FF633164"/>
      </right>
      <top style="thin">
        <color rgb="FF633164"/>
      </top>
      <bottom/>
      <diagonal/>
    </border>
    <border>
      <left style="thin">
        <color rgb="FF633164"/>
      </left>
      <right/>
      <top/>
      <bottom/>
      <diagonal/>
    </border>
    <border>
      <left/>
      <right style="thin">
        <color rgb="FF633164"/>
      </right>
      <top/>
      <bottom/>
      <diagonal/>
    </border>
    <border>
      <left style="thin">
        <color rgb="FF633164"/>
      </left>
      <right/>
      <top/>
      <bottom style="thin">
        <color rgb="FF633164"/>
      </bottom>
      <diagonal/>
    </border>
    <border>
      <left/>
      <right/>
      <top/>
      <bottom style="thin">
        <color rgb="FF633164"/>
      </bottom>
      <diagonal/>
    </border>
    <border>
      <left/>
      <right style="thin">
        <color rgb="FF633164"/>
      </right>
      <top/>
      <bottom style="thin">
        <color rgb="FF633164"/>
      </bottom>
      <diagonal/>
    </border>
  </borders>
  <cellStyleXfs count="8">
    <xf numFmtId="0" fontId="0" fillId="0" borderId="0"/>
    <xf numFmtId="44" fontId="1" fillId="0" borderId="0" applyFont="0" applyFill="0" applyBorder="0" applyAlignment="0" applyProtection="0"/>
    <xf numFmtId="0" fontId="4" fillId="0" borderId="0"/>
    <xf numFmtId="43" fontId="1" fillId="0" borderId="0" applyFont="0" applyFill="0" applyBorder="0" applyAlignment="0" applyProtection="0"/>
    <xf numFmtId="9" fontId="1" fillId="0" borderId="0" applyFont="0" applyFill="0" applyBorder="0" applyAlignment="0" applyProtection="0"/>
    <xf numFmtId="0" fontId="11" fillId="0" borderId="0"/>
    <xf numFmtId="0" fontId="11" fillId="0" borderId="0"/>
    <xf numFmtId="43" fontId="4" fillId="0" borderId="0" applyFont="0" applyFill="0" applyBorder="0" applyAlignment="0" applyProtection="0"/>
  </cellStyleXfs>
  <cellXfs count="131">
    <xf numFmtId="0" fontId="0" fillId="0" borderId="0" xfId="0"/>
    <xf numFmtId="14" fontId="3" fillId="0" borderId="0" xfId="0" applyNumberFormat="1" applyFont="1" applyAlignment="1">
      <alignment horizontal="center"/>
    </xf>
    <xf numFmtId="0" fontId="5" fillId="0" borderId="0" xfId="2" applyFont="1" applyAlignment="1">
      <alignment horizontal="left" vertical="top" wrapText="1"/>
    </xf>
    <xf numFmtId="0" fontId="8" fillId="0" borderId="0" xfId="2" applyFont="1" applyAlignment="1">
      <alignment horizontal="left" vertical="top" wrapText="1"/>
    </xf>
    <xf numFmtId="0" fontId="5" fillId="0" borderId="0" xfId="0" applyFont="1" applyAlignment="1">
      <alignment horizontal="left" vertical="top" wrapText="1"/>
    </xf>
    <xf numFmtId="0" fontId="8" fillId="0" borderId="0" xfId="0" applyFont="1" applyAlignment="1">
      <alignment horizontal="left" vertical="top" wrapText="1"/>
    </xf>
    <xf numFmtId="44" fontId="2" fillId="0" borderId="0" xfId="1" applyFont="1"/>
    <xf numFmtId="44" fontId="0" fillId="0" borderId="1" xfId="1" applyFont="1" applyBorder="1"/>
    <xf numFmtId="44" fontId="0" fillId="0" borderId="2" xfId="1" applyFont="1" applyBorder="1"/>
    <xf numFmtId="44" fontId="0" fillId="0" borderId="3" xfId="1" applyFont="1" applyBorder="1"/>
    <xf numFmtId="44" fontId="0" fillId="0" borderId="4" xfId="1" applyFont="1" applyBorder="1"/>
    <xf numFmtId="44" fontId="0" fillId="0" borderId="0" xfId="1" applyFont="1" applyBorder="1"/>
    <xf numFmtId="44" fontId="0" fillId="0" borderId="5" xfId="1" applyFont="1" applyBorder="1"/>
    <xf numFmtId="44" fontId="5" fillId="0" borderId="5" xfId="1" applyFont="1" applyFill="1" applyBorder="1" applyAlignment="1">
      <alignment horizontal="right" vertical="top" wrapText="1"/>
    </xf>
    <xf numFmtId="44" fontId="0" fillId="0" borderId="6" xfId="1" applyFont="1" applyBorder="1"/>
    <xf numFmtId="44" fontId="0" fillId="0" borderId="7" xfId="1" applyFont="1" applyBorder="1"/>
    <xf numFmtId="44" fontId="5" fillId="0" borderId="8" xfId="1" applyFont="1" applyFill="1" applyBorder="1" applyAlignment="1">
      <alignment horizontal="right" vertical="top" wrapText="1"/>
    </xf>
    <xf numFmtId="44" fontId="2" fillId="0" borderId="0" xfId="1" applyFont="1" applyFill="1" applyBorder="1"/>
    <xf numFmtId="0" fontId="8" fillId="0" borderId="9" xfId="0" applyFont="1" applyBorder="1" applyAlignment="1">
      <alignment horizontal="left" vertical="top" wrapText="1"/>
    </xf>
    <xf numFmtId="44" fontId="2" fillId="0" borderId="10" xfId="0" applyNumberFormat="1" applyFont="1" applyBorder="1"/>
    <xf numFmtId="44" fontId="2" fillId="0" borderId="11" xfId="0" applyNumberFormat="1" applyFont="1" applyBorder="1"/>
    <xf numFmtId="0" fontId="5" fillId="0" borderId="0" xfId="0" applyFont="1" applyAlignment="1">
      <alignment vertical="top" wrapText="1"/>
    </xf>
    <xf numFmtId="44" fontId="0" fillId="0" borderId="0" xfId="0" applyNumberFormat="1"/>
    <xf numFmtId="0" fontId="5" fillId="0" borderId="1" xfId="0" applyFont="1" applyBorder="1" applyAlignment="1">
      <alignment horizontal="left" vertical="top" wrapText="1"/>
    </xf>
    <xf numFmtId="0" fontId="0" fillId="0" borderId="2" xfId="0" applyBorder="1"/>
    <xf numFmtId="0" fontId="0" fillId="0" borderId="3" xfId="0" applyBorder="1"/>
    <xf numFmtId="0" fontId="5" fillId="0" borderId="4" xfId="0" applyFont="1" applyBorder="1" applyAlignment="1">
      <alignment horizontal="left" vertical="top" wrapText="1"/>
    </xf>
    <xf numFmtId="0" fontId="5" fillId="0" borderId="6" xfId="0" applyFont="1" applyBorder="1" applyAlignment="1">
      <alignment horizontal="left" vertical="top" wrapText="1"/>
    </xf>
    <xf numFmtId="44" fontId="0" fillId="0" borderId="8" xfId="1" applyFont="1" applyBorder="1"/>
    <xf numFmtId="44" fontId="2" fillId="0" borderId="0" xfId="0" applyNumberFormat="1" applyFont="1"/>
    <xf numFmtId="0" fontId="2" fillId="0" borderId="0" xfId="0" applyFont="1"/>
    <xf numFmtId="43" fontId="0" fillId="0" borderId="0" xfId="3" applyFont="1"/>
    <xf numFmtId="43" fontId="2" fillId="0" borderId="0" xfId="3" applyFont="1"/>
    <xf numFmtId="43" fontId="0" fillId="0" borderId="0" xfId="0" applyNumberFormat="1"/>
    <xf numFmtId="164" fontId="0" fillId="0" borderId="0" xfId="0" applyNumberFormat="1"/>
    <xf numFmtId="164" fontId="2" fillId="0" borderId="0" xfId="0" applyNumberFormat="1" applyFont="1"/>
    <xf numFmtId="0" fontId="5" fillId="0" borderId="0" xfId="0" applyFont="1" applyAlignment="1">
      <alignment horizontal="left" vertical="top"/>
    </xf>
    <xf numFmtId="0" fontId="8" fillId="0" borderId="0" xfId="0" applyFont="1" applyAlignment="1">
      <alignment horizontal="left" vertical="top"/>
    </xf>
    <xf numFmtId="0" fontId="10" fillId="0" borderId="0" xfId="0" applyFont="1" applyAlignment="1">
      <alignment horizontal="center" wrapText="1"/>
    </xf>
    <xf numFmtId="165" fontId="5" fillId="0" borderId="0" xfId="0" applyNumberFormat="1" applyFont="1" applyAlignment="1">
      <alignment horizontal="center"/>
    </xf>
    <xf numFmtId="165" fontId="5" fillId="0" borderId="0" xfId="0" applyNumberFormat="1" applyFont="1" applyAlignment="1">
      <alignment horizontal="right"/>
    </xf>
    <xf numFmtId="0" fontId="5" fillId="0" borderId="0" xfId="0" applyFont="1" applyAlignment="1">
      <alignment horizontal="center" vertical="top" wrapText="1"/>
    </xf>
    <xf numFmtId="165" fontId="2" fillId="0" borderId="0" xfId="0" applyNumberFormat="1" applyFont="1"/>
    <xf numFmtId="0" fontId="5" fillId="0" borderId="13" xfId="0" applyFont="1" applyBorder="1" applyAlignment="1">
      <alignment horizontal="left" vertical="top"/>
    </xf>
    <xf numFmtId="0" fontId="5" fillId="0" borderId="14" xfId="0" applyFont="1" applyBorder="1" applyAlignment="1">
      <alignment horizontal="left" vertical="top"/>
    </xf>
    <xf numFmtId="0" fontId="5" fillId="0" borderId="15" xfId="0" applyFont="1" applyBorder="1" applyAlignment="1">
      <alignment horizontal="left" vertical="top"/>
    </xf>
    <xf numFmtId="166" fontId="0" fillId="0" borderId="0" xfId="0" applyNumberFormat="1"/>
    <xf numFmtId="166" fontId="0" fillId="0" borderId="1" xfId="3" applyNumberFormat="1" applyFont="1" applyBorder="1"/>
    <xf numFmtId="166" fontId="0" fillId="0" borderId="2" xfId="3" applyNumberFormat="1" applyFont="1" applyBorder="1"/>
    <xf numFmtId="166" fontId="0" fillId="0" borderId="3" xfId="3" applyNumberFormat="1" applyFont="1" applyBorder="1"/>
    <xf numFmtId="166" fontId="0" fillId="0" borderId="6" xfId="3" applyNumberFormat="1" applyFont="1" applyBorder="1"/>
    <xf numFmtId="166" fontId="0" fillId="0" borderId="7" xfId="3" applyNumberFormat="1" applyFont="1" applyBorder="1"/>
    <xf numFmtId="166" fontId="0" fillId="0" borderId="8" xfId="3" applyNumberFormat="1" applyFont="1" applyBorder="1"/>
    <xf numFmtId="166" fontId="2" fillId="0" borderId="0" xfId="0" applyNumberFormat="1" applyFont="1"/>
    <xf numFmtId="166" fontId="2" fillId="0" borderId="0" xfId="3" applyNumberFormat="1" applyFont="1"/>
    <xf numFmtId="0" fontId="0" fillId="0" borderId="13" xfId="0" applyBorder="1"/>
    <xf numFmtId="0" fontId="0" fillId="0" borderId="15" xfId="0" applyBorder="1"/>
    <xf numFmtId="166" fontId="12" fillId="0" borderId="1" xfId="3" applyNumberFormat="1" applyFont="1" applyBorder="1" applyAlignment="1">
      <alignment horizontal="right" vertical="top"/>
    </xf>
    <xf numFmtId="166" fontId="12" fillId="0" borderId="4" xfId="3" applyNumberFormat="1" applyFont="1" applyBorder="1" applyAlignment="1">
      <alignment horizontal="right" vertical="top"/>
    </xf>
    <xf numFmtId="166" fontId="0" fillId="0" borderId="0" xfId="3" applyNumberFormat="1" applyFont="1" applyBorder="1"/>
    <xf numFmtId="166" fontId="0" fillId="0" borderId="5" xfId="3" applyNumberFormat="1" applyFont="1" applyBorder="1"/>
    <xf numFmtId="166" fontId="13" fillId="0" borderId="4" xfId="3" applyNumberFormat="1" applyFont="1" applyBorder="1" applyAlignment="1">
      <alignment horizontal="right" vertical="top"/>
    </xf>
    <xf numFmtId="166" fontId="12" fillId="0" borderId="6" xfId="3" applyNumberFormat="1" applyFont="1" applyBorder="1" applyAlignment="1">
      <alignment horizontal="right" vertical="top"/>
    </xf>
    <xf numFmtId="0" fontId="2" fillId="0" borderId="0" xfId="0" applyFont="1" applyAlignment="1">
      <alignment horizontal="center"/>
    </xf>
    <xf numFmtId="0" fontId="0" fillId="0" borderId="0" xfId="0" pivotButton="1"/>
    <xf numFmtId="43" fontId="0" fillId="0" borderId="0" xfId="0" applyNumberFormat="1" applyAlignment="1">
      <alignment horizontal="left"/>
    </xf>
    <xf numFmtId="167" fontId="0" fillId="0" borderId="0" xfId="0" applyNumberFormat="1"/>
    <xf numFmtId="9" fontId="0" fillId="0" borderId="0" xfId="4" applyFont="1"/>
    <xf numFmtId="168" fontId="0" fillId="0" borderId="0" xfId="4" applyNumberFormat="1" applyFont="1"/>
    <xf numFmtId="10" fontId="0" fillId="0" borderId="0" xfId="4" applyNumberFormat="1" applyFont="1"/>
    <xf numFmtId="166" fontId="5" fillId="0" borderId="0" xfId="3" applyNumberFormat="1" applyFont="1" applyAlignment="1">
      <alignment horizontal="right" vertical="top"/>
    </xf>
    <xf numFmtId="166" fontId="5" fillId="0" borderId="12" xfId="3" applyNumberFormat="1" applyFont="1" applyBorder="1" applyAlignment="1">
      <alignment horizontal="right" vertical="top"/>
    </xf>
    <xf numFmtId="0" fontId="0" fillId="0" borderId="19" xfId="0" applyBorder="1"/>
    <xf numFmtId="44" fontId="5" fillId="0" borderId="0" xfId="1" applyFont="1" applyFill="1" applyBorder="1" applyAlignment="1">
      <alignment horizontal="right" vertical="top" wrapText="1"/>
    </xf>
    <xf numFmtId="43" fontId="0" fillId="0" borderId="0" xfId="3" applyFont="1" applyBorder="1"/>
    <xf numFmtId="0" fontId="5" fillId="0" borderId="24" xfId="0" applyFont="1" applyBorder="1" applyAlignment="1">
      <alignment horizontal="left" vertical="top" wrapText="1"/>
    </xf>
    <xf numFmtId="44" fontId="0" fillId="0" borderId="24" xfId="1" applyFont="1" applyBorder="1"/>
    <xf numFmtId="44" fontId="5" fillId="0" borderId="24" xfId="1" applyFont="1" applyFill="1" applyBorder="1" applyAlignment="1">
      <alignment horizontal="right" vertical="top" wrapText="1"/>
    </xf>
    <xf numFmtId="0" fontId="5" fillId="0" borderId="24" xfId="2" applyFont="1" applyBorder="1" applyAlignment="1">
      <alignment horizontal="left" vertical="top" wrapText="1"/>
    </xf>
    <xf numFmtId="43" fontId="0" fillId="0" borderId="24" xfId="3" applyFont="1" applyBorder="1"/>
    <xf numFmtId="0" fontId="0" fillId="0" borderId="0" xfId="0" applyAlignment="1">
      <alignment horizontal="left"/>
    </xf>
    <xf numFmtId="44" fontId="0" fillId="0" borderId="0" xfId="1" applyFont="1"/>
    <xf numFmtId="166" fontId="5" fillId="0" borderId="0" xfId="7" applyNumberFormat="1" applyFont="1" applyAlignment="1">
      <alignment horizontal="right" vertical="top"/>
    </xf>
    <xf numFmtId="166" fontId="5" fillId="0" borderId="0" xfId="7" applyNumberFormat="1" applyFont="1" applyBorder="1" applyAlignment="1">
      <alignment horizontal="right" vertical="top"/>
    </xf>
    <xf numFmtId="0" fontId="2" fillId="0" borderId="24" xfId="0" applyFont="1" applyBorder="1"/>
    <xf numFmtId="0" fontId="0" fillId="0" borderId="16" xfId="0" applyBorder="1"/>
    <xf numFmtId="44" fontId="0" fillId="0" borderId="17" xfId="0" applyNumberFormat="1" applyBorder="1"/>
    <xf numFmtId="44" fontId="0" fillId="0" borderId="18" xfId="0" applyNumberFormat="1" applyBorder="1"/>
    <xf numFmtId="0" fontId="2" fillId="0" borderId="23" xfId="0" applyFont="1" applyBorder="1"/>
    <xf numFmtId="44" fontId="0" fillId="0" borderId="22" xfId="0" applyNumberFormat="1" applyBorder="1"/>
    <xf numFmtId="43" fontId="0" fillId="0" borderId="20" xfId="3" applyFont="1" applyBorder="1"/>
    <xf numFmtId="43" fontId="0" fillId="0" borderId="21" xfId="3" applyFont="1" applyBorder="1"/>
    <xf numFmtId="0" fontId="0" fillId="2" borderId="0" xfId="0" applyFill="1"/>
    <xf numFmtId="0" fontId="0" fillId="0" borderId="24" xfId="0" applyBorder="1"/>
    <xf numFmtId="44" fontId="0" fillId="0" borderId="24" xfId="0" applyNumberFormat="1" applyBorder="1"/>
    <xf numFmtId="14" fontId="20" fillId="0" borderId="24" xfId="0" applyNumberFormat="1" applyFont="1" applyBorder="1" applyAlignment="1">
      <alignment horizontal="center"/>
    </xf>
    <xf numFmtId="44" fontId="0" fillId="3" borderId="24" xfId="0" applyNumberFormat="1" applyFill="1" applyBorder="1"/>
    <xf numFmtId="0" fontId="2" fillId="3" borderId="24" xfId="0" applyFont="1" applyFill="1" applyBorder="1"/>
    <xf numFmtId="43" fontId="0" fillId="3" borderId="24" xfId="3" applyFont="1" applyFill="1" applyBorder="1"/>
    <xf numFmtId="166" fontId="15" fillId="4" borderId="0" xfId="3" applyNumberFormat="1" applyFont="1" applyFill="1" applyBorder="1"/>
    <xf numFmtId="166" fontId="18" fillId="4" borderId="0" xfId="3" applyNumberFormat="1" applyFont="1" applyFill="1" applyBorder="1"/>
    <xf numFmtId="0" fontId="0" fillId="4" borderId="0" xfId="0" applyFill="1"/>
    <xf numFmtId="0" fontId="15" fillId="4" borderId="0" xfId="0" applyFont="1" applyFill="1"/>
    <xf numFmtId="0" fontId="16" fillId="4" borderId="0" xfId="0" applyFont="1" applyFill="1"/>
    <xf numFmtId="0" fontId="14" fillId="4" borderId="0" xfId="0" applyFont="1" applyFill="1"/>
    <xf numFmtId="0" fontId="18" fillId="4" borderId="0" xfId="0" applyFont="1" applyFill="1"/>
    <xf numFmtId="0" fontId="19" fillId="4" borderId="0" xfId="0" applyFont="1" applyFill="1"/>
    <xf numFmtId="166" fontId="18" fillId="4" borderId="0" xfId="0" applyNumberFormat="1" applyFont="1" applyFill="1"/>
    <xf numFmtId="10" fontId="18" fillId="4" borderId="0" xfId="0" applyNumberFormat="1" applyFont="1" applyFill="1"/>
    <xf numFmtId="0" fontId="0" fillId="2" borderId="25" xfId="0" applyFill="1" applyBorder="1"/>
    <xf numFmtId="0" fontId="0" fillId="2" borderId="26" xfId="0" applyFill="1" applyBorder="1"/>
    <xf numFmtId="0" fontId="0" fillId="2" borderId="27" xfId="0" applyFill="1" applyBorder="1"/>
    <xf numFmtId="0" fontId="0" fillId="2" borderId="28" xfId="0" applyFill="1" applyBorder="1"/>
    <xf numFmtId="0" fontId="0" fillId="2" borderId="29" xfId="0" applyFill="1" applyBorder="1"/>
    <xf numFmtId="0" fontId="0" fillId="4" borderId="28" xfId="0" applyFill="1" applyBorder="1"/>
    <xf numFmtId="0" fontId="0" fillId="4" borderId="29" xfId="0" applyFill="1" applyBorder="1"/>
    <xf numFmtId="0" fontId="0" fillId="4" borderId="30" xfId="0" applyFill="1" applyBorder="1"/>
    <xf numFmtId="0" fontId="0" fillId="4" borderId="31" xfId="0" applyFill="1" applyBorder="1"/>
    <xf numFmtId="0" fontId="0" fillId="4" borderId="32" xfId="0" applyFill="1" applyBorder="1"/>
    <xf numFmtId="0" fontId="21" fillId="2" borderId="25" xfId="0" applyFont="1" applyFill="1" applyBorder="1" applyAlignment="1">
      <alignment horizontal="center"/>
    </xf>
    <xf numFmtId="0" fontId="21" fillId="2" borderId="26" xfId="0" applyFont="1" applyFill="1" applyBorder="1" applyAlignment="1">
      <alignment horizontal="center"/>
    </xf>
    <xf numFmtId="0" fontId="21" fillId="2" borderId="27" xfId="0" applyFont="1" applyFill="1" applyBorder="1" applyAlignment="1">
      <alignment horizontal="center"/>
    </xf>
    <xf numFmtId="0" fontId="21" fillId="2" borderId="30" xfId="0" applyFont="1" applyFill="1" applyBorder="1" applyAlignment="1">
      <alignment horizontal="center"/>
    </xf>
    <xf numFmtId="0" fontId="21" fillId="2" borderId="31" xfId="0" applyFont="1" applyFill="1" applyBorder="1" applyAlignment="1">
      <alignment horizontal="center"/>
    </xf>
    <xf numFmtId="0" fontId="21" fillId="2" borderId="32" xfId="0" applyFont="1" applyFill="1" applyBorder="1" applyAlignment="1">
      <alignment horizontal="center"/>
    </xf>
    <xf numFmtId="0" fontId="22" fillId="0" borderId="28" xfId="0" applyFont="1" applyBorder="1" applyAlignment="1">
      <alignment horizontal="center" wrapText="1"/>
    </xf>
    <xf numFmtId="0" fontId="22" fillId="0" borderId="0" xfId="0" applyFont="1" applyAlignment="1">
      <alignment horizontal="center" wrapText="1"/>
    </xf>
    <xf numFmtId="0" fontId="22" fillId="0" borderId="29" xfId="0" applyFont="1" applyBorder="1" applyAlignment="1">
      <alignment horizontal="center" wrapText="1"/>
    </xf>
    <xf numFmtId="0" fontId="22" fillId="0" borderId="30" xfId="0" applyFont="1" applyBorder="1" applyAlignment="1">
      <alignment horizontal="center" wrapText="1"/>
    </xf>
    <xf numFmtId="0" fontId="22" fillId="0" borderId="31" xfId="0" applyFont="1" applyBorder="1" applyAlignment="1">
      <alignment horizontal="center" wrapText="1"/>
    </xf>
    <xf numFmtId="0" fontId="22" fillId="0" borderId="32" xfId="0" applyFont="1" applyBorder="1" applyAlignment="1">
      <alignment horizontal="center" wrapText="1"/>
    </xf>
  </cellXfs>
  <cellStyles count="8">
    <cellStyle name="Comma" xfId="3" builtinId="3"/>
    <cellStyle name="Comma 20" xfId="7" xr:uid="{C6A87B04-7097-4095-B10F-1273BB28A1CB}"/>
    <cellStyle name="Currency" xfId="1" builtinId="4"/>
    <cellStyle name="Normal" xfId="0" builtinId="0"/>
    <cellStyle name="Normal 15" xfId="5" xr:uid="{B5F553D1-D71C-40CD-AE14-897A0F7625EE}"/>
    <cellStyle name="Normal 16" xfId="6" xr:uid="{7F1D313C-5950-4112-A9D7-59574CF6062A}"/>
    <cellStyle name="Normal 19" xfId="2" xr:uid="{77F73844-EC8C-4DDE-A71A-C23E0CD2B548}"/>
    <cellStyle name="Percent" xfId="4" builtinId="5"/>
  </cellStyles>
  <dxfs count="3">
    <dxf>
      <numFmt numFmtId="35" formatCode="_(* #,##0.00_);_(* \(#,##0.00\);_(* &quot;-&quot;??_);_(@_)"/>
    </dxf>
    <dxf>
      <font>
        <b/>
        <i val="0"/>
        <sz val="12"/>
        <name val="Aptos Narrow"/>
        <family val="2"/>
        <scheme val="minor"/>
      </font>
    </dxf>
    <dxf>
      <border>
        <left style="medium">
          <color rgb="FF7030A0"/>
        </left>
        <right style="medium">
          <color rgb="FF7030A0"/>
        </right>
        <top style="medium">
          <color rgb="FF7030A0"/>
        </top>
        <bottom style="medium">
          <color rgb="FF7030A0"/>
        </bottom>
      </border>
    </dxf>
  </dxfs>
  <tableStyles count="1" defaultTableStyle="TableStyleMedium2" defaultPivotStyle="PivotStyleLight16">
    <tableStyle name="Slicer Style 1" pivot="0" table="0" count="4" xr9:uid="{6803F124-1D91-48E8-82B7-8CA377AB2C7F}">
      <tableStyleElement type="wholeTable" dxfId="2"/>
      <tableStyleElement type="headerRow" dxfId="1"/>
    </tableStyle>
  </tableStyles>
  <colors>
    <mruColors>
      <color rgb="FF633164"/>
      <color rgb="FFC39BE1"/>
    </mruColors>
  </colors>
  <extLst>
    <ext xmlns:x14="http://schemas.microsoft.com/office/spreadsheetml/2009/9/main" uri="{46F421CA-312F-682f-3DD2-61675219B42D}">
      <x14:dxfs count="2">
        <dxf>
          <font>
            <sz val="12"/>
            <color theme="0"/>
            <name val="Aptos Narrow"/>
            <family val="2"/>
            <scheme val="minor"/>
          </font>
          <fill>
            <patternFill>
              <bgColor rgb="FF633164"/>
            </patternFill>
          </fill>
        </dxf>
        <dxf>
          <font>
            <sz val="12"/>
            <color auto="1"/>
            <name val="Aptos Narrow"/>
            <family val="2"/>
            <scheme val="minor"/>
          </font>
          <fill>
            <patternFill>
              <bgColor theme="2" tint="-9.9948118533890809E-2"/>
            </patternFill>
          </fill>
          <border diagonalUp="0" diagonalDown="0">
            <left/>
            <right/>
            <top/>
            <bottom/>
            <vertical/>
            <horizontal/>
          </border>
        </dxf>
      </x14:dxfs>
    </ext>
    <ext xmlns:x14="http://schemas.microsoft.com/office/spreadsheetml/2009/9/main" uri="{EB79DEF2-80B8-43e5-95BD-54CBDDF9020C}">
      <x14:slicerStyles defaultSlicerStyle="SlicerStyleLight1">
        <x14:slicerStyle name="Slicer Style 1">
          <x14:slicerStyleElements>
            <x14:slicerStyleElement type="unselectedItemWithData" dxfId="1"/>
            <x14:slicerStyleElement type="selectedItemWith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07/relationships/slicerCache" Target="slicerCaches/slicerCache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0" Type="http://schemas.microsoft.com/office/2007/relationships/slicerCache" Target="slicerCaches/slicerCache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sharedStrings" Target="sharedStrings.xml"/><Relationship Id="rId10" Type="http://schemas.openxmlformats.org/officeDocument/2006/relationships/worksheet" Target="worksheets/sheet10.xml"/><Relationship Id="rId19" Type="http://schemas.microsoft.com/office/2007/relationships/slicerCache" Target="slicerCaches/slicerCache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      Total Assets for FY 23-24</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'Assets Data'!$A$18</c:f>
              <c:strCache>
                <c:ptCount val="1"/>
                <c:pt idx="0">
                  <c:v>      Total Assets</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'Assets Data'!$B$17:$M$17</c:f>
              <c:numCache>
                <c:formatCode>m/d/yyyy</c:formatCode>
                <c:ptCount val="12"/>
                <c:pt idx="0">
                  <c:v>45138</c:v>
                </c:pt>
                <c:pt idx="1">
                  <c:v>45169</c:v>
                </c:pt>
                <c:pt idx="2">
                  <c:v>45199</c:v>
                </c:pt>
                <c:pt idx="3">
                  <c:v>45230</c:v>
                </c:pt>
                <c:pt idx="4">
                  <c:v>45260</c:v>
                </c:pt>
                <c:pt idx="5">
                  <c:v>45291</c:v>
                </c:pt>
                <c:pt idx="6">
                  <c:v>45322</c:v>
                </c:pt>
                <c:pt idx="7">
                  <c:v>45351</c:v>
                </c:pt>
                <c:pt idx="8">
                  <c:v>45382</c:v>
                </c:pt>
                <c:pt idx="9">
                  <c:v>45412</c:v>
                </c:pt>
                <c:pt idx="10">
                  <c:v>45443</c:v>
                </c:pt>
                <c:pt idx="11">
                  <c:v>45473</c:v>
                </c:pt>
              </c:numCache>
            </c:numRef>
          </c:cat>
          <c:val>
            <c:numRef>
              <c:f>'Assets Data'!$B$18:$M$18</c:f>
              <c:numCache>
                <c:formatCode>_("$"* #,##0.00_);_("$"* \(#,##0.00\);_("$"* "-"??_);_(@_)</c:formatCode>
                <c:ptCount val="12"/>
                <c:pt idx="0">
                  <c:v>37452715</c:v>
                </c:pt>
                <c:pt idx="1">
                  <c:v>40072487</c:v>
                </c:pt>
                <c:pt idx="2">
                  <c:v>39836097</c:v>
                </c:pt>
                <c:pt idx="3">
                  <c:v>39716541</c:v>
                </c:pt>
                <c:pt idx="4">
                  <c:v>39649687</c:v>
                </c:pt>
                <c:pt idx="5">
                  <c:v>45591190</c:v>
                </c:pt>
                <c:pt idx="6">
                  <c:v>46110067</c:v>
                </c:pt>
                <c:pt idx="7">
                  <c:v>45868209</c:v>
                </c:pt>
                <c:pt idx="8">
                  <c:v>46187413</c:v>
                </c:pt>
                <c:pt idx="9">
                  <c:v>46308462</c:v>
                </c:pt>
                <c:pt idx="10">
                  <c:v>46702490</c:v>
                </c:pt>
                <c:pt idx="11">
                  <c:v>55814192</c:v>
                </c:pt>
              </c:numCache>
            </c:numRef>
          </c:val>
          <c:smooth val="0"/>
          <c:extLst>
            <c:ext xmlns:c16="http://schemas.microsoft.com/office/drawing/2014/chart" uri="{C3380CC4-5D6E-409C-BE32-E72D297353CC}">
              <c16:uniqueId val="{00000000-E3D6-4578-87BF-CD8FEBB5A7CC}"/>
            </c:ext>
          </c:extLst>
        </c:ser>
        <c:dLbls>
          <c:showLegendKey val="0"/>
          <c:showVal val="0"/>
          <c:showCatName val="0"/>
          <c:showSerName val="0"/>
          <c:showPercent val="0"/>
          <c:showBubbleSize val="0"/>
        </c:dLbls>
        <c:marker val="1"/>
        <c:smooth val="0"/>
        <c:axId val="55484607"/>
        <c:axId val="55483167"/>
      </c:lineChart>
      <c:catAx>
        <c:axId val="55484607"/>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5483167"/>
        <c:crosses val="autoZero"/>
        <c:auto val="0"/>
        <c:lblAlgn val="ctr"/>
        <c:lblOffset val="100"/>
        <c:noMultiLvlLbl val="0"/>
      </c:catAx>
      <c:valAx>
        <c:axId val="55483167"/>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54846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40" b="1" i="0" u="none" strike="noStrike" kern="1200" spc="0" baseline="0">
                <a:solidFill>
                  <a:sysClr val="windowText" lastClr="000000"/>
                </a:solidFill>
                <a:latin typeface="+mn-lt"/>
                <a:ea typeface="+mn-ea"/>
                <a:cs typeface="+mn-cs"/>
              </a:defRPr>
            </a:pPr>
            <a:r>
              <a:rPr lang="en-US" b="1"/>
              <a:t>      Total Assets for FY 23-24</a:t>
            </a:r>
          </a:p>
        </c:rich>
      </c:tx>
      <c:overlay val="0"/>
      <c:spPr>
        <a:noFill/>
        <a:ln>
          <a:noFill/>
        </a:ln>
        <a:effectLst/>
      </c:spPr>
      <c:txPr>
        <a:bodyPr rot="0" spcFirstLastPara="1" vertOverflow="ellipsis" vert="horz" wrap="square" anchor="ctr" anchorCtr="1"/>
        <a:lstStyle/>
        <a:p>
          <a:pPr>
            <a:defRPr sz="1440" b="1"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0"/>
          <c:order val="0"/>
          <c:tx>
            <c:strRef>
              <c:f>'Assets Data'!$A$18</c:f>
              <c:strCache>
                <c:ptCount val="1"/>
                <c:pt idx="0">
                  <c:v>      Total Assets</c:v>
                </c:pt>
              </c:strCache>
            </c:strRef>
          </c:tx>
          <c:spPr>
            <a:ln w="28575" cap="rnd">
              <a:solidFill>
                <a:srgbClr val="633164"/>
              </a:solidFill>
              <a:round/>
            </a:ln>
            <a:effectLst/>
          </c:spPr>
          <c:marker>
            <c:symbol val="circle"/>
            <c:size val="5"/>
            <c:spPr>
              <a:solidFill>
                <a:schemeClr val="accent5"/>
              </a:solidFill>
              <a:ln w="9525">
                <a:solidFill>
                  <a:schemeClr val="accent5"/>
                </a:solidFill>
              </a:ln>
              <a:effectLst/>
            </c:spPr>
          </c:marker>
          <c:trendline>
            <c:spPr>
              <a:ln w="19050" cap="rnd">
                <a:solidFill>
                  <a:srgbClr val="7030A0"/>
                </a:solidFill>
                <a:prstDash val="sysDot"/>
              </a:ln>
              <a:effectLst/>
            </c:spPr>
            <c:trendlineType val="linear"/>
            <c:dispRSqr val="0"/>
            <c:dispEq val="0"/>
          </c:trendline>
          <c:cat>
            <c:numRef>
              <c:f>'Assets Data'!$B$17:$M$17</c:f>
              <c:numCache>
                <c:formatCode>m/d/yyyy</c:formatCode>
                <c:ptCount val="12"/>
                <c:pt idx="0">
                  <c:v>45138</c:v>
                </c:pt>
                <c:pt idx="1">
                  <c:v>45169</c:v>
                </c:pt>
                <c:pt idx="2">
                  <c:v>45199</c:v>
                </c:pt>
                <c:pt idx="3">
                  <c:v>45230</c:v>
                </c:pt>
                <c:pt idx="4">
                  <c:v>45260</c:v>
                </c:pt>
                <c:pt idx="5">
                  <c:v>45291</c:v>
                </c:pt>
                <c:pt idx="6">
                  <c:v>45322</c:v>
                </c:pt>
                <c:pt idx="7">
                  <c:v>45351</c:v>
                </c:pt>
                <c:pt idx="8">
                  <c:v>45382</c:v>
                </c:pt>
                <c:pt idx="9">
                  <c:v>45412</c:v>
                </c:pt>
                <c:pt idx="10">
                  <c:v>45443</c:v>
                </c:pt>
                <c:pt idx="11">
                  <c:v>45473</c:v>
                </c:pt>
              </c:numCache>
            </c:numRef>
          </c:cat>
          <c:val>
            <c:numRef>
              <c:f>'Assets Data'!$B$18:$M$18</c:f>
              <c:numCache>
                <c:formatCode>_("$"* #,##0.00_);_("$"* \(#,##0.00\);_("$"* "-"??_);_(@_)</c:formatCode>
                <c:ptCount val="12"/>
                <c:pt idx="0">
                  <c:v>37452715</c:v>
                </c:pt>
                <c:pt idx="1">
                  <c:v>40072487</c:v>
                </c:pt>
                <c:pt idx="2">
                  <c:v>39836097</c:v>
                </c:pt>
                <c:pt idx="3">
                  <c:v>39716541</c:v>
                </c:pt>
                <c:pt idx="4">
                  <c:v>39649687</c:v>
                </c:pt>
                <c:pt idx="5">
                  <c:v>45591190</c:v>
                </c:pt>
                <c:pt idx="6">
                  <c:v>46110067</c:v>
                </c:pt>
                <c:pt idx="7">
                  <c:v>45868209</c:v>
                </c:pt>
                <c:pt idx="8">
                  <c:v>46187413</c:v>
                </c:pt>
                <c:pt idx="9">
                  <c:v>46308462</c:v>
                </c:pt>
                <c:pt idx="10">
                  <c:v>46702490</c:v>
                </c:pt>
                <c:pt idx="11">
                  <c:v>55814192</c:v>
                </c:pt>
              </c:numCache>
            </c:numRef>
          </c:val>
          <c:smooth val="0"/>
          <c:extLst>
            <c:ext xmlns:c16="http://schemas.microsoft.com/office/drawing/2014/chart" uri="{C3380CC4-5D6E-409C-BE32-E72D297353CC}">
              <c16:uniqueId val="{00000000-3760-4932-BEAD-FEAE9AC0E27C}"/>
            </c:ext>
          </c:extLst>
        </c:ser>
        <c:dLbls>
          <c:showLegendKey val="0"/>
          <c:showVal val="0"/>
          <c:showCatName val="0"/>
          <c:showSerName val="0"/>
          <c:showPercent val="0"/>
          <c:showBubbleSize val="0"/>
        </c:dLbls>
        <c:marker val="1"/>
        <c:smooth val="0"/>
        <c:axId val="55484607"/>
        <c:axId val="55483167"/>
      </c:lineChart>
      <c:catAx>
        <c:axId val="55484607"/>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55483167"/>
        <c:crosses val="autoZero"/>
        <c:auto val="0"/>
        <c:lblAlgn val="ctr"/>
        <c:lblOffset val="100"/>
        <c:noMultiLvlLbl val="0"/>
      </c:catAx>
      <c:valAx>
        <c:axId val="55483167"/>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554846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dbl" algn="ctr">
      <a:solidFill>
        <a:srgbClr val="7030A0"/>
      </a:solidFill>
      <a:bevel/>
    </a:ln>
    <a:effectLst/>
  </c:spPr>
  <c:txPr>
    <a:bodyPr/>
    <a:lstStyle/>
    <a:p>
      <a:pPr>
        <a:defRPr sz="1200">
          <a:solidFill>
            <a:sysClr val="windowText" lastClr="000000"/>
          </a:solidFill>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lgn="ctr" rtl="0">
              <a:defRPr lang="en-US" sz="1440" b="1" i="0" u="none" strike="noStrike" kern="1200" spc="0" baseline="0">
                <a:solidFill>
                  <a:sysClr val="windowText" lastClr="000000"/>
                </a:solidFill>
                <a:latin typeface="+mn-lt"/>
                <a:ea typeface="+mn-ea"/>
                <a:cs typeface="+mn-cs"/>
              </a:defRPr>
            </a:pPr>
            <a:r>
              <a:rPr lang="en-US" b="1"/>
              <a:t>      Total Liabilities for FY 23-24</a:t>
            </a:r>
          </a:p>
        </c:rich>
      </c:tx>
      <c:overlay val="0"/>
      <c:spPr>
        <a:noFill/>
        <a:ln>
          <a:noFill/>
        </a:ln>
        <a:effectLst/>
      </c:spPr>
      <c:txPr>
        <a:bodyPr rot="0" spcFirstLastPara="1" vertOverflow="ellipsis" vert="horz" wrap="square" anchor="ctr" anchorCtr="1"/>
        <a:lstStyle/>
        <a:p>
          <a:pPr algn="ctr" rtl="0">
            <a:defRPr lang="en-US" sz="1440" b="1"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0"/>
          <c:order val="0"/>
          <c:tx>
            <c:strRef>
              <c:f>'Liabilities Date'!$A$16</c:f>
              <c:strCache>
                <c:ptCount val="1"/>
                <c:pt idx="0">
                  <c:v>      Total Liabilities</c:v>
                </c:pt>
              </c:strCache>
            </c:strRef>
          </c:tx>
          <c:spPr>
            <a:ln w="28575" cap="rnd">
              <a:solidFill>
                <a:srgbClr val="633164"/>
              </a:solidFill>
              <a:round/>
            </a:ln>
            <a:effectLst/>
          </c:spPr>
          <c:marker>
            <c:symbol val="circle"/>
            <c:size val="5"/>
            <c:spPr>
              <a:solidFill>
                <a:schemeClr val="accent5"/>
              </a:solidFill>
              <a:ln w="9525">
                <a:solidFill>
                  <a:schemeClr val="accent5"/>
                </a:solidFill>
              </a:ln>
              <a:effectLst/>
            </c:spPr>
          </c:marker>
          <c:trendline>
            <c:spPr>
              <a:ln w="19050" cap="rnd">
                <a:solidFill>
                  <a:srgbClr val="633164"/>
                </a:solidFill>
                <a:prstDash val="sysDot"/>
              </a:ln>
              <a:effectLst/>
            </c:spPr>
            <c:trendlineType val="linear"/>
            <c:dispRSqr val="0"/>
            <c:dispEq val="0"/>
          </c:trendline>
          <c:cat>
            <c:strRef>
              <c:f>'Liabilities Date'!$B$14:$M$15</c:f>
              <c:strCache>
                <c:ptCount val="12"/>
                <c:pt idx="0">
                  <c:v>7/31/2023</c:v>
                </c:pt>
                <c:pt idx="1">
                  <c:v>8/31/2023</c:v>
                </c:pt>
                <c:pt idx="2">
                  <c:v>9/30/2023</c:v>
                </c:pt>
                <c:pt idx="3">
                  <c:v>10/31/2023</c:v>
                </c:pt>
                <c:pt idx="4">
                  <c:v>11/30/2023</c:v>
                </c:pt>
                <c:pt idx="5">
                  <c:v>12/31/2023</c:v>
                </c:pt>
                <c:pt idx="6">
                  <c:v>1/31/2024</c:v>
                </c:pt>
                <c:pt idx="7">
                  <c:v>2/29/2024</c:v>
                </c:pt>
                <c:pt idx="8">
                  <c:v>3/31/2024</c:v>
                </c:pt>
                <c:pt idx="9">
                  <c:v>4/30/2024</c:v>
                </c:pt>
                <c:pt idx="10">
                  <c:v>5/31/2024</c:v>
                </c:pt>
                <c:pt idx="11">
                  <c:v>6/30/2024</c:v>
                </c:pt>
              </c:strCache>
            </c:strRef>
          </c:cat>
          <c:val>
            <c:numRef>
              <c:f>'Liabilities Date'!$B$16:$M$16</c:f>
              <c:numCache>
                <c:formatCode>_("$"* #,##0.00_);_("$"* \(#,##0.00\);_("$"* "-"??_);_(@_)</c:formatCode>
                <c:ptCount val="12"/>
                <c:pt idx="0">
                  <c:v>1587662</c:v>
                </c:pt>
                <c:pt idx="1">
                  <c:v>2695534</c:v>
                </c:pt>
                <c:pt idx="2">
                  <c:v>2501904</c:v>
                </c:pt>
                <c:pt idx="3">
                  <c:v>2386543</c:v>
                </c:pt>
                <c:pt idx="4">
                  <c:v>2331905</c:v>
                </c:pt>
                <c:pt idx="5">
                  <c:v>2245389</c:v>
                </c:pt>
                <c:pt idx="6">
                  <c:v>2350745</c:v>
                </c:pt>
                <c:pt idx="7">
                  <c:v>2017720</c:v>
                </c:pt>
                <c:pt idx="8">
                  <c:v>2190970</c:v>
                </c:pt>
                <c:pt idx="9">
                  <c:v>2237949</c:v>
                </c:pt>
                <c:pt idx="10">
                  <c:v>2114299</c:v>
                </c:pt>
                <c:pt idx="11">
                  <c:v>2078770</c:v>
                </c:pt>
              </c:numCache>
            </c:numRef>
          </c:val>
          <c:smooth val="0"/>
          <c:extLst>
            <c:ext xmlns:c16="http://schemas.microsoft.com/office/drawing/2014/chart" uri="{C3380CC4-5D6E-409C-BE32-E72D297353CC}">
              <c16:uniqueId val="{00000000-D60B-4A68-ACB0-215459BD9D52}"/>
            </c:ext>
          </c:extLst>
        </c:ser>
        <c:dLbls>
          <c:showLegendKey val="0"/>
          <c:showVal val="0"/>
          <c:showCatName val="0"/>
          <c:showSerName val="0"/>
          <c:showPercent val="0"/>
          <c:showBubbleSize val="0"/>
        </c:dLbls>
        <c:marker val="1"/>
        <c:smooth val="0"/>
        <c:axId val="136180079"/>
        <c:axId val="136179119"/>
      </c:lineChart>
      <c:catAx>
        <c:axId val="136180079"/>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200" b="0" i="0" u="none" strike="noStrike" kern="1200" baseline="0">
                <a:solidFill>
                  <a:sysClr val="windowText" lastClr="000000"/>
                </a:solidFill>
                <a:latin typeface="+mn-lt"/>
                <a:ea typeface="+mn-ea"/>
                <a:cs typeface="+mn-cs"/>
              </a:defRPr>
            </a:pPr>
            <a:endParaRPr lang="en-US"/>
          </a:p>
        </c:txPr>
        <c:crossAx val="136179119"/>
        <c:crosses val="autoZero"/>
        <c:auto val="0"/>
        <c:lblAlgn val="ctr"/>
        <c:lblOffset val="100"/>
        <c:noMultiLvlLbl val="0"/>
      </c:catAx>
      <c:valAx>
        <c:axId val="136179119"/>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200" b="0" i="0" u="none" strike="noStrike" kern="1200" baseline="0">
                <a:solidFill>
                  <a:sysClr val="windowText" lastClr="000000"/>
                </a:solidFill>
                <a:latin typeface="+mn-lt"/>
                <a:ea typeface="+mn-ea"/>
                <a:cs typeface="+mn-cs"/>
              </a:defRPr>
            </a:pPr>
            <a:endParaRPr lang="en-US"/>
          </a:p>
        </c:txPr>
        <c:crossAx val="1361800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rgbClr val="7030A0"/>
      </a:solidFill>
      <a:round/>
    </a:ln>
    <a:effectLst/>
  </c:spPr>
  <c:txPr>
    <a:bodyPr/>
    <a:lstStyle/>
    <a:p>
      <a:pPr>
        <a:defRPr lang="en-US" sz="1200" b="0" i="0" u="none" strike="noStrike" kern="1200" baseline="0">
          <a:solidFill>
            <a:sysClr val="windowText" lastClr="000000"/>
          </a:solidFill>
          <a:latin typeface="+mn-lt"/>
          <a:ea typeface="+mn-ea"/>
          <a:cs typeface="+mn-cs"/>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lang="en-US" sz="1440" b="1" i="0" u="none" strike="noStrike" kern="1200" baseline="0">
                <a:solidFill>
                  <a:sysClr val="windowText" lastClr="000000"/>
                </a:solidFill>
                <a:latin typeface="+mn-lt"/>
                <a:ea typeface="+mn-ea"/>
                <a:cs typeface="+mn-cs"/>
              </a:defRPr>
            </a:pPr>
            <a:r>
              <a:rPr lang="en-US" b="1"/>
              <a:t>Total</a:t>
            </a:r>
            <a:r>
              <a:rPr lang="en-US" b="1" baseline="0"/>
              <a:t> Net Assets</a:t>
            </a:r>
            <a:endParaRPr lang="en-US" b="1"/>
          </a:p>
        </c:rich>
      </c:tx>
      <c:overlay val="0"/>
      <c:spPr>
        <a:noFill/>
        <a:ln>
          <a:noFill/>
        </a:ln>
        <a:effectLst/>
      </c:spPr>
      <c:txPr>
        <a:bodyPr rot="0" spcFirstLastPara="1" vertOverflow="ellipsis" vert="horz" wrap="square" anchor="ctr" anchorCtr="1"/>
        <a:lstStyle/>
        <a:p>
          <a:pPr>
            <a:defRPr lang="en-US" sz="1440" b="1" i="0" u="none" strike="noStrike" kern="1200" baseline="0">
              <a:solidFill>
                <a:sysClr val="windowText" lastClr="000000"/>
              </a:solidFill>
              <a:latin typeface="+mn-lt"/>
              <a:ea typeface="+mn-ea"/>
              <a:cs typeface="+mn-cs"/>
            </a:defRPr>
          </a:pPr>
          <a:endParaRPr lang="en-US"/>
        </a:p>
      </c:txPr>
    </c:title>
    <c:autoTitleDeleted val="0"/>
    <c:plotArea>
      <c:layout/>
      <c:pieChart>
        <c:varyColors val="1"/>
        <c:ser>
          <c:idx val="0"/>
          <c:order val="0"/>
          <c:spPr>
            <a:solidFill>
              <a:srgbClr val="633164"/>
            </a:solidFill>
          </c:spPr>
          <c:explosion val="1"/>
          <c:dPt>
            <c:idx val="0"/>
            <c:bubble3D val="0"/>
            <c:spPr>
              <a:solidFill>
                <a:srgbClr val="633164"/>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E381-4F0A-954E-3A34A7D78D24}"/>
              </c:ext>
            </c:extLst>
          </c:dPt>
          <c:dPt>
            <c:idx val="1"/>
            <c:bubble3D val="0"/>
            <c:spPr>
              <a:solidFill>
                <a:srgbClr val="633164">
                  <a:alpha val="41000"/>
                </a:srgb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E381-4F0A-954E-3A34A7D78D24}"/>
              </c:ext>
            </c:extLst>
          </c:dPt>
          <c:dLbls>
            <c:dLbl>
              <c:idx val="0"/>
              <c:layout>
                <c:manualLayout>
                  <c:x val="2.4787361091563383E-2"/>
                  <c:y val="-7.8980387868183149E-2"/>
                </c:manualLayout>
              </c:layout>
              <c:tx>
                <c:rich>
                  <a:bodyPr/>
                  <a:lstStyle/>
                  <a:p>
                    <a:fld id="{562C0E24-5400-444F-9329-8E120B37AAE0}" type="VALUE">
                      <a:rPr lang="en-US"/>
                      <a:pPr/>
                      <a:t>[VALUE]</a:t>
                    </a:fld>
                    <a:endParaRPr lang="en-US" baseline="0"/>
                  </a:p>
                  <a:p>
                    <a:fld id="{8AB1EADE-58B3-4D12-8CE8-1E601A83E805}" type="PERCENTAGE">
                      <a:rPr lang="en-US" baseline="0"/>
                      <a:pPr/>
                      <a:t>[PERCENTAGE]</a:t>
                    </a:fld>
                    <a:endParaRPr lang="en-US"/>
                  </a:p>
                </c:rich>
              </c:tx>
              <c:dLblPos val="bestFit"/>
              <c:showLegendKey val="0"/>
              <c:showVal val="1"/>
              <c:showCatName val="0"/>
              <c:showSerName val="0"/>
              <c:showPercent val="1"/>
              <c:showBubbleSize val="0"/>
              <c:extLst>
                <c:ext xmlns:c15="http://schemas.microsoft.com/office/drawing/2012/chart" uri="{CE6537A1-D6FC-4f65-9D91-7224C49458BB}">
                  <c15:layout>
                    <c:manualLayout>
                      <c:w val="0.2850546525529789"/>
                      <c:h val="0.21875"/>
                    </c:manualLayout>
                  </c15:layout>
                  <c15:dlblFieldTable/>
                  <c15:showDataLabelsRange val="0"/>
                </c:ext>
                <c:ext xmlns:c16="http://schemas.microsoft.com/office/drawing/2014/chart" uri="{C3380CC4-5D6E-409C-BE32-E72D297353CC}">
                  <c16:uniqueId val="{00000001-E381-4F0A-954E-3A34A7D78D24}"/>
                </c:ext>
              </c:extLst>
            </c:dLbl>
            <c:dLbl>
              <c:idx val="1"/>
              <c:layout>
                <c:manualLayout>
                  <c:x val="-6.8853780809898291E-2"/>
                  <c:y val="6.0130869058034414E-2"/>
                </c:manualLayout>
              </c:layout>
              <c:tx>
                <c:rich>
                  <a:bodyPr/>
                  <a:lstStyle/>
                  <a:p>
                    <a:fld id="{811EE3AB-F577-4E0A-91CF-66742BA2C907}" type="VALUE">
                      <a:rPr lang="en-US"/>
                      <a:pPr/>
                      <a:t>[VALUE]</a:t>
                    </a:fld>
                    <a:r>
                      <a:rPr lang="en-US" baseline="0"/>
                      <a:t> </a:t>
                    </a:r>
                  </a:p>
                  <a:p>
                    <a:fld id="{A4AB951E-21E0-401D-82BC-95E23D932A54}" type="PERCENTAGE">
                      <a:rPr lang="en-US" baseline="0"/>
                      <a:pPr/>
                      <a:t>[PERCENTAGE]</a:t>
                    </a:fld>
                    <a:endParaRPr lang="en-US"/>
                  </a:p>
                </c:rich>
              </c:tx>
              <c:dLblPos val="bestFit"/>
              <c:showLegendKey val="0"/>
              <c:showVal val="1"/>
              <c:showCatName val="0"/>
              <c:showSerName val="0"/>
              <c:showPercent val="1"/>
              <c:showBubbleSize val="0"/>
              <c:extLst>
                <c:ext xmlns:c15="http://schemas.microsoft.com/office/drawing/2012/chart" uri="{CE6537A1-D6FC-4f65-9D91-7224C49458BB}">
                  <c15:layout>
                    <c:manualLayout>
                      <c:w val="0.28230050132058299"/>
                      <c:h val="0.21875"/>
                    </c:manualLayout>
                  </c15:layout>
                  <c15:dlblFieldTable/>
                  <c15:showDataLabelsRange val="0"/>
                </c:ext>
                <c:ext xmlns:c16="http://schemas.microsoft.com/office/drawing/2014/chart" uri="{C3380CC4-5D6E-409C-BE32-E72D297353CC}">
                  <c16:uniqueId val="{00000003-E381-4F0A-954E-3A34A7D78D24}"/>
                </c:ext>
              </c:extLst>
            </c:dLbl>
            <c:spPr>
              <a:noFill/>
              <a:ln>
                <a:noFill/>
              </a:ln>
              <a:effectLst/>
            </c:spPr>
            <c:txPr>
              <a:bodyPr rot="0" spcFirstLastPara="1" vertOverflow="ellipsis" vert="horz" wrap="square" lIns="38100" tIns="19050" rIns="38100" bIns="19050" anchor="ctr" anchorCtr="1">
                <a:spAutoFit/>
              </a:bodyPr>
              <a:lstStyle/>
              <a:p>
                <a:pPr>
                  <a:defRPr lang="en-US" sz="1200" b="0" i="0" u="none" strike="noStrike" kern="1200" baseline="0">
                    <a:solidFill>
                      <a:sysClr val="windowText" lastClr="000000"/>
                    </a:solidFill>
                    <a:latin typeface="+mn-lt"/>
                    <a:ea typeface="+mn-ea"/>
                    <a:cs typeface="+mn-cs"/>
                  </a:defRPr>
                </a:pPr>
                <a:endParaRPr lang="en-US"/>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'Net Assets'!$A$17:$A$18</c:f>
              <c:strCache>
                <c:ptCount val="2"/>
                <c:pt idx="0">
                  <c:v>Without Donor Restrictions</c:v>
                </c:pt>
                <c:pt idx="1">
                  <c:v>With Donor Restrictions</c:v>
                </c:pt>
              </c:strCache>
            </c:strRef>
          </c:cat>
          <c:val>
            <c:numRef>
              <c:f>'Net Assets'!$B$17:$B$18</c:f>
              <c:numCache>
                <c:formatCode>_("$"* #,##0_);_("$"* \(#,##0\);_("$"* "-"??_);_(@_)</c:formatCode>
                <c:ptCount val="2"/>
                <c:pt idx="0">
                  <c:v>42116765.909999996</c:v>
                </c:pt>
                <c:pt idx="1">
                  <c:v>11618656.090000002</c:v>
                </c:pt>
              </c:numCache>
            </c:numRef>
          </c:val>
          <c:extLst>
            <c:ext xmlns:c16="http://schemas.microsoft.com/office/drawing/2014/chart" uri="{C3380CC4-5D6E-409C-BE32-E72D297353CC}">
              <c16:uniqueId val="{00000004-E381-4F0A-954E-3A34A7D78D24}"/>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lang="en-US" sz="12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rgbClr val="7030A0"/>
      </a:solidFill>
      <a:round/>
    </a:ln>
    <a:effectLst/>
  </c:spPr>
  <c:txPr>
    <a:bodyPr/>
    <a:lstStyle/>
    <a:p>
      <a:pPr>
        <a:defRPr lang="en-US" sz="1200" b="0" i="0" u="none" strike="noStrike" kern="1200" baseline="0">
          <a:solidFill>
            <a:sysClr val="windowText" lastClr="000000"/>
          </a:solidFill>
          <a:latin typeface="+mn-lt"/>
          <a:ea typeface="+mn-ea"/>
          <a:cs typeface="+mn-cs"/>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40" b="1" i="0" u="none" strike="noStrike" kern="1200" baseline="0">
                <a:solidFill>
                  <a:sysClr val="windowText" lastClr="000000"/>
                </a:solidFill>
                <a:latin typeface="+mn-lt"/>
                <a:ea typeface="+mn-ea"/>
                <a:cs typeface="+mn-cs"/>
              </a:defRPr>
            </a:pPr>
            <a:r>
              <a:rPr lang="en-US" b="1"/>
              <a:t>Total Revenue to date</a:t>
            </a:r>
          </a:p>
        </c:rich>
      </c:tx>
      <c:overlay val="0"/>
      <c:spPr>
        <a:noFill/>
        <a:ln>
          <a:noFill/>
        </a:ln>
        <a:effectLst/>
      </c:spPr>
      <c:txPr>
        <a:bodyPr rot="0" spcFirstLastPara="1" vertOverflow="ellipsis" vert="horz" wrap="square" anchor="ctr" anchorCtr="1"/>
        <a:lstStyle/>
        <a:p>
          <a:pPr>
            <a:defRPr lang="en-US" sz="1440" b="1" i="0" u="none" strike="noStrike" kern="1200" baseline="0">
              <a:solidFill>
                <a:sysClr val="windowText" lastClr="000000"/>
              </a:solidFill>
              <a:latin typeface="+mn-lt"/>
              <a:ea typeface="+mn-ea"/>
              <a:cs typeface="+mn-cs"/>
            </a:defRPr>
          </a:pPr>
          <a:endParaRPr lang="en-US"/>
        </a:p>
      </c:txPr>
    </c:title>
    <c:autoTitleDeleted val="0"/>
    <c:plotArea>
      <c:layout/>
      <c:doughnut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8931-472F-B0E0-50A4BA6F92BC}"/>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8931-472F-B0E0-50A4BA6F92BC}"/>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8931-472F-B0E0-50A4BA6F92BC}"/>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8931-472F-B0E0-50A4BA6F92BC}"/>
              </c:ext>
            </c:extLst>
          </c:dPt>
          <c:dLbls>
            <c:spPr>
              <a:solidFill>
                <a:schemeClr val="lt1"/>
              </a:solidFill>
              <a:ln>
                <a:noFill/>
              </a:ln>
              <a:effectLst>
                <a:outerShdw blurRad="50800" dist="38100" dir="2700000" algn="tl" rotWithShape="0">
                  <a:prstClr val="black">
                    <a:alpha val="40000"/>
                  </a:prstClr>
                </a:outerShdw>
              </a:effectLst>
            </c:spPr>
            <c:txPr>
              <a:bodyPr rot="0" spcFirstLastPara="1" vertOverflow="ellipsis" vert="horz" wrap="square" anchor="ctr" anchorCtr="1"/>
              <a:lstStyle/>
              <a:p>
                <a:pPr>
                  <a:defRPr lang="en-US" sz="1200" b="0"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'Revenue Data'!$A$29:$A$32</c:f>
              <c:strCache>
                <c:ptCount val="4"/>
                <c:pt idx="0">
                  <c:v>Contributions, foundations, trusts and bequests</c:v>
                </c:pt>
                <c:pt idx="1">
                  <c:v>Other Revenue and Support</c:v>
                </c:pt>
                <c:pt idx="2">
                  <c:v>Grants</c:v>
                </c:pt>
                <c:pt idx="3">
                  <c:v>Contributed facilities, goods and services</c:v>
                </c:pt>
              </c:strCache>
            </c:strRef>
          </c:cat>
          <c:val>
            <c:numRef>
              <c:f>'Revenue Data'!$B$29:$B$32</c:f>
              <c:numCache>
                <c:formatCode>_(* #,##0.00_);_(* \(#,##0.00\);_(* "-"??_);_(@_)</c:formatCode>
                <c:ptCount val="4"/>
                <c:pt idx="0">
                  <c:v>8820664</c:v>
                </c:pt>
                <c:pt idx="1">
                  <c:v>832670</c:v>
                </c:pt>
                <c:pt idx="2">
                  <c:v>33700325</c:v>
                </c:pt>
                <c:pt idx="3">
                  <c:v>13281750</c:v>
                </c:pt>
              </c:numCache>
            </c:numRef>
          </c:val>
          <c:extLst>
            <c:ext xmlns:c16="http://schemas.microsoft.com/office/drawing/2014/chart" uri="{C3380CC4-5D6E-409C-BE32-E72D297353CC}">
              <c16:uniqueId val="{0000000A-8931-472F-B0E0-50A4BA6F92BC}"/>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lang="en-US" sz="12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rnd" cmpd="sng" algn="ctr">
      <a:solidFill>
        <a:srgbClr val="7030A0"/>
      </a:solidFill>
      <a:round/>
    </a:ln>
    <a:effectLst/>
  </c:spPr>
  <c:txPr>
    <a:bodyPr/>
    <a:lstStyle/>
    <a:p>
      <a:pPr>
        <a:defRPr lang="en-US" sz="1200" b="0" i="0" u="none" strike="noStrike" kern="1200" baseline="0">
          <a:solidFill>
            <a:sysClr val="windowText" lastClr="000000"/>
          </a:solidFill>
          <a:latin typeface="+mn-lt"/>
          <a:ea typeface="+mn-ea"/>
          <a:cs typeface="+mn-cs"/>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40" b="1" i="0" u="none" strike="noStrike" kern="1200" baseline="0">
                <a:solidFill>
                  <a:sysClr val="windowText" lastClr="000000"/>
                </a:solidFill>
                <a:latin typeface="+mn-lt"/>
                <a:ea typeface="+mn-ea"/>
                <a:cs typeface="+mn-cs"/>
              </a:defRPr>
            </a:pPr>
            <a:r>
              <a:rPr lang="en-US" b="1"/>
              <a:t>Total Expenses to Date</a:t>
            </a:r>
          </a:p>
        </c:rich>
      </c:tx>
      <c:overlay val="0"/>
      <c:spPr>
        <a:noFill/>
        <a:ln>
          <a:noFill/>
        </a:ln>
        <a:effectLst/>
      </c:spPr>
      <c:txPr>
        <a:bodyPr rot="0" spcFirstLastPara="1" vertOverflow="ellipsis" vert="horz" wrap="square" anchor="ctr" anchorCtr="1"/>
        <a:lstStyle/>
        <a:p>
          <a:pPr>
            <a:defRPr lang="en-US" sz="1440" b="1" i="0" u="none" strike="noStrike" kern="1200" baseline="0">
              <a:solidFill>
                <a:sysClr val="windowText" lastClr="000000"/>
              </a:solidFill>
              <a:latin typeface="+mn-lt"/>
              <a:ea typeface="+mn-ea"/>
              <a:cs typeface="+mn-cs"/>
            </a:defRPr>
          </a:pPr>
          <a:endParaRPr lang="en-US"/>
        </a:p>
      </c:txPr>
    </c:title>
    <c:autoTitleDeleted val="0"/>
    <c:plotArea>
      <c:layout/>
      <c:doughnut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E60A-4400-ADAF-30EFED304451}"/>
              </c:ext>
            </c:extLst>
          </c:dPt>
          <c:dPt>
            <c:idx val="1"/>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E60A-4400-ADAF-30EFED304451}"/>
              </c:ext>
            </c:extLst>
          </c:dPt>
          <c:dPt>
            <c:idx val="2"/>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E60A-4400-ADAF-30EFED304451}"/>
              </c:ext>
            </c:extLst>
          </c:dPt>
          <c:dLbls>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anchor="ctr" anchorCtr="1"/>
              <a:lstStyle/>
              <a:p>
                <a:pPr>
                  <a:defRPr lang="en-US" sz="1200" b="0"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'Expenses Data'!$A$10:$A$12</c:f>
              <c:strCache>
                <c:ptCount val="3"/>
                <c:pt idx="0">
                  <c:v>Community Based Services</c:v>
                </c:pt>
                <c:pt idx="1">
                  <c:v>Child Development Services</c:v>
                </c:pt>
                <c:pt idx="2">
                  <c:v>General Admin, Fund Raising &amp; Ministries</c:v>
                </c:pt>
              </c:strCache>
            </c:strRef>
          </c:cat>
          <c:val>
            <c:numRef>
              <c:f>'Expenses Data'!$B$10:$B$12</c:f>
              <c:numCache>
                <c:formatCode>_(* #,##0.00_);_(* \(#,##0.00\);_(* "-"??_);_(@_)</c:formatCode>
                <c:ptCount val="3"/>
                <c:pt idx="0">
                  <c:v>20353031</c:v>
                </c:pt>
                <c:pt idx="1">
                  <c:v>18533193</c:v>
                </c:pt>
                <c:pt idx="2">
                  <c:v>4638445</c:v>
                </c:pt>
              </c:numCache>
            </c:numRef>
          </c:val>
          <c:extLst>
            <c:ext xmlns:c16="http://schemas.microsoft.com/office/drawing/2014/chart" uri="{C3380CC4-5D6E-409C-BE32-E72D297353CC}">
              <c16:uniqueId val="{00000006-E60A-4400-ADAF-30EFED304451}"/>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lang="en-US" sz="12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7030A0"/>
      </a:solidFill>
      <a:round/>
    </a:ln>
    <a:effectLst/>
  </c:spPr>
  <c:txPr>
    <a:bodyPr/>
    <a:lstStyle/>
    <a:p>
      <a:pPr>
        <a:defRPr lang="en-US" sz="1200" b="0" i="0" u="none" strike="noStrike" kern="1200" baseline="0">
          <a:solidFill>
            <a:sysClr val="windowText" lastClr="000000"/>
          </a:solidFill>
          <a:latin typeface="+mn-lt"/>
          <a:ea typeface="+mn-ea"/>
          <a:cs typeface="+mn-cs"/>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lang="en-US" sz="1440" b="1" i="0" u="none" strike="noStrike" kern="1200" cap="none" spc="50" normalizeH="0" baseline="0">
                <a:solidFill>
                  <a:sysClr val="windowText" lastClr="000000"/>
                </a:solidFill>
                <a:latin typeface="+mn-lt"/>
                <a:ea typeface="+mn-ea"/>
                <a:cs typeface="+mn-cs"/>
              </a:defRPr>
            </a:pPr>
            <a:r>
              <a:rPr lang="en-US" b="1"/>
              <a:t>Months of Liquid Unrestricted Net Assets (LUNA)</a:t>
            </a:r>
          </a:p>
        </c:rich>
      </c:tx>
      <c:overlay val="0"/>
      <c:spPr>
        <a:noFill/>
        <a:ln>
          <a:noFill/>
        </a:ln>
        <a:effectLst/>
      </c:spPr>
      <c:txPr>
        <a:bodyPr rot="0" spcFirstLastPara="1" vertOverflow="ellipsis" vert="horz" wrap="square" anchor="ctr" anchorCtr="1"/>
        <a:lstStyle/>
        <a:p>
          <a:pPr>
            <a:defRPr lang="en-US" sz="1440" b="1" i="0" u="none" strike="noStrike" kern="1200" cap="none" spc="50" normalizeH="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'Luna Analysis'!$A$26</c:f>
              <c:strCache>
                <c:ptCount val="1"/>
                <c:pt idx="0">
                  <c:v>Months of Unrestricted Net Assets (LUNA)</c:v>
                </c:pt>
              </c:strCache>
            </c:strRef>
          </c:tx>
          <c:spPr>
            <a:solidFill>
              <a:srgbClr val="633164">
                <a:alpha val="70000"/>
              </a:srgbClr>
            </a:solidFill>
            <a:ln>
              <a:noFill/>
            </a:ln>
            <a:effectLst/>
          </c:spPr>
          <c:invertIfNegative val="0"/>
          <c:dLbls>
            <c:spPr>
              <a:noFill/>
              <a:ln>
                <a:noFill/>
              </a:ln>
              <a:effectLst/>
            </c:spPr>
            <c:txPr>
              <a:bodyPr rot="0" spcFirstLastPara="1" vertOverflow="ellipsis" vert="horz" wrap="square" anchor="ctr" anchorCtr="1"/>
              <a:lstStyle/>
              <a:p>
                <a:pPr>
                  <a:defRPr lang="en-US" sz="12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15875" cap="rnd">
                <a:solidFill>
                  <a:schemeClr val="accent5"/>
                </a:solidFill>
              </a:ln>
              <a:effectLst/>
            </c:spPr>
            <c:trendlineType val="linear"/>
            <c:dispRSqr val="0"/>
            <c:dispEq val="0"/>
          </c:trendline>
          <c:cat>
            <c:numRef>
              <c:f>'Luna Analysis'!$B$25:$M$25</c:f>
              <c:numCache>
                <c:formatCode>m/d/yyyy</c:formatCode>
                <c:ptCount val="12"/>
                <c:pt idx="0">
                  <c:v>45138</c:v>
                </c:pt>
                <c:pt idx="1">
                  <c:v>45169</c:v>
                </c:pt>
                <c:pt idx="2">
                  <c:v>45199</c:v>
                </c:pt>
                <c:pt idx="3">
                  <c:v>45230</c:v>
                </c:pt>
                <c:pt idx="4">
                  <c:v>45260</c:v>
                </c:pt>
                <c:pt idx="5">
                  <c:v>45291</c:v>
                </c:pt>
                <c:pt idx="6">
                  <c:v>45322</c:v>
                </c:pt>
                <c:pt idx="7">
                  <c:v>45351</c:v>
                </c:pt>
                <c:pt idx="8">
                  <c:v>45382</c:v>
                </c:pt>
                <c:pt idx="9">
                  <c:v>45412</c:v>
                </c:pt>
                <c:pt idx="10">
                  <c:v>45443</c:v>
                </c:pt>
                <c:pt idx="11">
                  <c:v>45473</c:v>
                </c:pt>
              </c:numCache>
            </c:numRef>
          </c:cat>
          <c:val>
            <c:numRef>
              <c:f>'Luna Analysis'!$B$26:$M$26</c:f>
              <c:numCache>
                <c:formatCode>_(* #,##0.00_);_(* \(#,##0.00\);_(* "-"??_);_(@_)</c:formatCode>
                <c:ptCount val="12"/>
                <c:pt idx="0">
                  <c:v>5.9191381043346167</c:v>
                </c:pt>
                <c:pt idx="1">
                  <c:v>5.8243692734797046</c:v>
                </c:pt>
                <c:pt idx="2">
                  <c:v>5.4205773775846575</c:v>
                </c:pt>
                <c:pt idx="3">
                  <c:v>5.2698170678850893</c:v>
                </c:pt>
                <c:pt idx="4">
                  <c:v>5.1636822256946253</c:v>
                </c:pt>
                <c:pt idx="5">
                  <c:v>6.8589671764964111</c:v>
                </c:pt>
                <c:pt idx="6">
                  <c:v>6.8916838385986541</c:v>
                </c:pt>
                <c:pt idx="7">
                  <c:v>6.8578803180850256</c:v>
                </c:pt>
                <c:pt idx="8">
                  <c:v>5.367796715217751</c:v>
                </c:pt>
                <c:pt idx="9">
                  <c:v>5.2218164511485741</c:v>
                </c:pt>
                <c:pt idx="10">
                  <c:v>5.3242613858505781</c:v>
                </c:pt>
                <c:pt idx="11">
                  <c:v>5.0221271068138389</c:v>
                </c:pt>
              </c:numCache>
            </c:numRef>
          </c:val>
          <c:extLst>
            <c:ext xmlns:c16="http://schemas.microsoft.com/office/drawing/2014/chart" uri="{C3380CC4-5D6E-409C-BE32-E72D297353CC}">
              <c16:uniqueId val="{00000001-F45F-46B7-AFB2-6FD5CAC0D41C}"/>
            </c:ext>
          </c:extLst>
        </c:ser>
        <c:dLbls>
          <c:dLblPos val="outEnd"/>
          <c:showLegendKey val="0"/>
          <c:showVal val="1"/>
          <c:showCatName val="0"/>
          <c:showSerName val="0"/>
          <c:showPercent val="0"/>
          <c:showBubbleSize val="0"/>
        </c:dLbls>
        <c:gapWidth val="80"/>
        <c:overlap val="25"/>
        <c:axId val="619704719"/>
        <c:axId val="619696079"/>
      </c:barChart>
      <c:catAx>
        <c:axId val="619704719"/>
        <c:scaling>
          <c:orientation val="minMax"/>
        </c:scaling>
        <c:delete val="0"/>
        <c:axPos val="b"/>
        <c:title>
          <c:tx>
            <c:rich>
              <a:bodyPr rot="0" spcFirstLastPara="1" vertOverflow="ellipsis" vert="horz" wrap="square" anchor="ctr" anchorCtr="1"/>
              <a:lstStyle/>
              <a:p>
                <a:pPr>
                  <a:defRPr lang="en-US" sz="1200" b="0" i="0" u="none" strike="noStrike" kern="1200" cap="all" baseline="0">
                    <a:solidFill>
                      <a:sysClr val="windowText" lastClr="000000"/>
                    </a:solidFill>
                    <a:latin typeface="+mn-lt"/>
                    <a:ea typeface="+mn-ea"/>
                    <a:cs typeface="+mn-cs"/>
                  </a:defRPr>
                </a:pPr>
                <a:r>
                  <a:rPr lang="en-US"/>
                  <a:t>Date</a:t>
                </a:r>
              </a:p>
            </c:rich>
          </c:tx>
          <c:overlay val="0"/>
          <c:spPr>
            <a:noFill/>
            <a:ln>
              <a:noFill/>
            </a:ln>
            <a:effectLst/>
          </c:spPr>
          <c:txPr>
            <a:bodyPr rot="0" spcFirstLastPara="1" vertOverflow="ellipsis" vert="horz" wrap="square" anchor="ctr" anchorCtr="1"/>
            <a:lstStyle/>
            <a:p>
              <a:pPr>
                <a:defRPr lang="en-US" sz="1200" b="0" i="0" u="none" strike="noStrike" kern="1200" cap="all" baseline="0">
                  <a:solidFill>
                    <a:sysClr val="windowText" lastClr="000000"/>
                  </a:solidFill>
                  <a:latin typeface="+mn-lt"/>
                  <a:ea typeface="+mn-ea"/>
                  <a:cs typeface="+mn-cs"/>
                </a:defRPr>
              </a:pPr>
              <a:endParaRPr lang="en-US"/>
            </a:p>
          </c:txPr>
        </c:title>
        <c:numFmt formatCode="m/d/yyyy"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lang="en-US" sz="1200" b="0" i="0" u="none" strike="noStrike" kern="1200" cap="none" spc="20" normalizeH="0" baseline="0">
                <a:solidFill>
                  <a:sysClr val="windowText" lastClr="000000"/>
                </a:solidFill>
                <a:latin typeface="+mn-lt"/>
                <a:ea typeface="+mn-ea"/>
                <a:cs typeface="+mn-cs"/>
              </a:defRPr>
            </a:pPr>
            <a:endParaRPr lang="en-US"/>
          </a:p>
        </c:txPr>
        <c:crossAx val="619696079"/>
        <c:crosses val="autoZero"/>
        <c:auto val="0"/>
        <c:lblAlgn val="ctr"/>
        <c:lblOffset val="100"/>
        <c:noMultiLvlLbl val="0"/>
      </c:catAx>
      <c:valAx>
        <c:axId val="619696079"/>
        <c:scaling>
          <c:orientation val="minMax"/>
        </c:scaling>
        <c:delete val="0"/>
        <c:axPos val="l"/>
        <c:majorGridlines>
          <c:spPr>
            <a:ln w="9525" cap="flat" cmpd="sng" algn="ctr">
              <a:solidFill>
                <a:schemeClr val="tx1">
                  <a:lumMod val="5000"/>
                  <a:lumOff val="95000"/>
                </a:schemeClr>
              </a:solidFill>
              <a:round/>
            </a:ln>
            <a:effectLst/>
          </c:spPr>
        </c:majorGridlines>
        <c:title>
          <c:tx>
            <c:rich>
              <a:bodyPr rot="-5400000" spcFirstLastPara="1" vertOverflow="ellipsis" vert="horz" wrap="square" anchor="ctr" anchorCtr="1"/>
              <a:lstStyle/>
              <a:p>
                <a:pPr>
                  <a:defRPr lang="en-US" sz="1200" b="0" i="0" u="none" strike="noStrike" kern="1200" cap="all" baseline="0">
                    <a:solidFill>
                      <a:sysClr val="windowText" lastClr="000000"/>
                    </a:solidFill>
                    <a:latin typeface="+mn-lt"/>
                    <a:ea typeface="+mn-ea"/>
                    <a:cs typeface="+mn-cs"/>
                  </a:defRPr>
                </a:pPr>
                <a:r>
                  <a:rPr lang="en-US"/>
                  <a:t>Number of Months</a:t>
                </a:r>
              </a:p>
            </c:rich>
          </c:tx>
          <c:overlay val="0"/>
          <c:spPr>
            <a:noFill/>
            <a:ln>
              <a:noFill/>
            </a:ln>
            <a:effectLst/>
          </c:spPr>
          <c:txPr>
            <a:bodyPr rot="-5400000" spcFirstLastPara="1" vertOverflow="ellipsis" vert="horz" wrap="square" anchor="ctr" anchorCtr="1"/>
            <a:lstStyle/>
            <a:p>
              <a:pPr>
                <a:defRPr lang="en-US" sz="1200" b="0" i="0" u="none" strike="noStrike" kern="1200" cap="all" baseline="0">
                  <a:solidFill>
                    <a:sysClr val="windowText" lastClr="000000"/>
                  </a:solidFill>
                  <a:latin typeface="+mn-lt"/>
                  <a:ea typeface="+mn-ea"/>
                  <a:cs typeface="+mn-cs"/>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lang="en-US" sz="1200" b="0" i="0" u="none" strike="noStrike" kern="1200" spc="20" baseline="0">
                <a:solidFill>
                  <a:sysClr val="windowText" lastClr="000000"/>
                </a:solidFill>
                <a:latin typeface="+mn-lt"/>
                <a:ea typeface="+mn-ea"/>
                <a:cs typeface="+mn-cs"/>
              </a:defRPr>
            </a:pPr>
            <a:endParaRPr lang="en-US"/>
          </a:p>
        </c:txPr>
        <c:crossAx val="6197047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rgbClr val="7030A0"/>
      </a:solidFill>
      <a:round/>
    </a:ln>
    <a:effectLst/>
  </c:spPr>
  <c:txPr>
    <a:bodyPr/>
    <a:lstStyle/>
    <a:p>
      <a:pPr>
        <a:defRPr lang="en-US" sz="1200" b="0" i="0" u="none" strike="noStrike" kern="1200" baseline="0">
          <a:solidFill>
            <a:sysClr val="windowText" lastClr="000000"/>
          </a:solidFill>
          <a:latin typeface="+mn-lt"/>
          <a:ea typeface="+mn-ea"/>
          <a:cs typeface="+mn-cs"/>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7"/>
    </mc:Choice>
    <mc:Fallback>
      <c:style val="7"/>
    </mc:Fallback>
  </mc:AlternateContent>
  <c:pivotSource>
    <c:name>[Finance Dashboard FY 23-24.xlsx]Cash PV!PivotTable4</c:name>
    <c:fmtId val="8"/>
  </c:pivotSource>
  <c:chart>
    <c:title>
      <c:tx>
        <c:rich>
          <a:bodyPr rot="0" spcFirstLastPara="1" vertOverflow="ellipsis" vert="horz" wrap="square" anchor="ctr" anchorCtr="1"/>
          <a:lstStyle/>
          <a:p>
            <a:pPr>
              <a:defRPr lang="en-US" sz="1440" b="1" i="0" u="none" strike="noStrike" kern="1200" baseline="0">
                <a:solidFill>
                  <a:sysClr val="windowText" lastClr="000000"/>
                </a:solidFill>
                <a:latin typeface="+mn-lt"/>
                <a:ea typeface="+mn-ea"/>
                <a:cs typeface="+mn-cs"/>
              </a:defRPr>
            </a:pPr>
            <a:r>
              <a:rPr lang="en-US" b="1"/>
              <a:t>Cash Analysis</a:t>
            </a:r>
          </a:p>
        </c:rich>
      </c:tx>
      <c:overlay val="0"/>
      <c:spPr>
        <a:noFill/>
        <a:ln>
          <a:noFill/>
        </a:ln>
        <a:effectLst/>
      </c:spPr>
      <c:txPr>
        <a:bodyPr rot="0" spcFirstLastPara="1" vertOverflow="ellipsis" vert="horz" wrap="square" anchor="ctr" anchorCtr="1"/>
        <a:lstStyle/>
        <a:p>
          <a:pPr>
            <a:defRPr lang="en-US" sz="1440" b="1" i="0" u="none" strike="noStrike" kern="1200" baseline="0">
              <a:solidFill>
                <a:sysClr val="windowText" lastClr="000000"/>
              </a:solidFill>
              <a:latin typeface="+mn-lt"/>
              <a:ea typeface="+mn-ea"/>
              <a:cs typeface="+mn-cs"/>
            </a:defRPr>
          </a:pPr>
          <a:endParaRPr lang="en-US"/>
        </a:p>
      </c:txPr>
    </c:title>
    <c:autoTitleDeleted val="0"/>
    <c:pivotFmts>
      <c:pivotFmt>
        <c:idx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w="34925" cap="rnd">
            <a:solidFill>
              <a:schemeClr val="accent5"/>
            </a:solidFill>
            <a:round/>
          </a:ln>
          <a:effectLst>
            <a:outerShdw blurRad="57150" dist="19050" dir="5400000" algn="ctr" rotWithShape="0">
              <a:srgbClr val="000000">
                <a:alpha val="63000"/>
              </a:srgbClr>
            </a:outerShdw>
          </a:effectLst>
        </c:spPr>
        <c:marker>
          <c:symbol val="circle"/>
          <c:size val="6"/>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w="9525">
              <a:solidFill>
                <a:schemeClr val="accent5"/>
              </a:solidFill>
              <a:round/>
            </a:ln>
            <a:effectLst>
              <a:outerShdw blurRad="57150" dist="19050" dir="5400000" algn="ctr" rotWithShape="0">
                <a:srgbClr val="000000">
                  <a:alpha val="63000"/>
                </a:srgbClr>
              </a:outerShdw>
            </a:effectLst>
          </c:spPr>
        </c:marker>
        <c:dLbl>
          <c:idx val="0"/>
          <c:spPr>
            <a:noFill/>
            <a:ln>
              <a:noFill/>
            </a:ln>
            <a:effectLst/>
          </c:spPr>
          <c:txPr>
            <a:bodyPr rot="0" spcFirstLastPara="1" vertOverflow="ellipsis" vert="horz" wrap="square" anchor="ctr" anchorCtr="1"/>
            <a:lstStyle/>
            <a:p>
              <a:pPr>
                <a:defRPr lang="en-US" sz="900" b="0"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w="34925" cap="rnd">
            <a:solidFill>
              <a:schemeClr val="accent5"/>
            </a:solidFill>
            <a:round/>
          </a:ln>
          <a:effectLst>
            <a:outerShdw blurRad="57150" dist="19050" dir="5400000" algn="ctr" rotWithShape="0">
              <a:srgbClr val="000000">
                <a:alpha val="63000"/>
              </a:srgbClr>
            </a:outerShdw>
          </a:effectLst>
        </c:spPr>
        <c:marker>
          <c:symbol val="circle"/>
          <c:size val="6"/>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w="9525">
              <a:solidFill>
                <a:schemeClr val="accent5"/>
              </a:solidFill>
              <a:round/>
            </a:ln>
            <a:effectLst>
              <a:outerShdw blurRad="57150" dist="19050" dir="5400000" algn="ctr" rotWithShape="0">
                <a:srgbClr val="000000">
                  <a:alpha val="63000"/>
                </a:srgbClr>
              </a:outerShdw>
            </a:effectLst>
          </c:spPr>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ln w="34925" cap="rnd">
            <a:solidFill>
              <a:srgbClr val="633164"/>
            </a:solidFill>
            <a:round/>
          </a:ln>
          <a:effectLst>
            <a:outerShdw blurRad="57150" dist="19050" dir="5400000" algn="ctr" rotWithShape="0">
              <a:srgbClr val="000000">
                <a:alpha val="63000"/>
              </a:srgbClr>
            </a:outerShdw>
          </a:effectLst>
        </c:spPr>
        <c:marker>
          <c:symbol val="circle"/>
          <c:size val="6"/>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w="9525">
              <a:solidFill>
                <a:schemeClr val="accent5"/>
              </a:solidFill>
              <a:round/>
            </a:ln>
            <a:effectLst>
              <a:outerShdw blurRad="57150" dist="19050" dir="5400000" algn="ctr" rotWithShape="0">
                <a:srgbClr val="000000">
                  <a:alpha val="63000"/>
                </a:srgbClr>
              </a:outerShdw>
            </a:effectLst>
          </c:spPr>
        </c:marker>
        <c:dLbl>
          <c:idx val="0"/>
          <c:spPr>
            <a:noFill/>
            <a:ln>
              <a:noFill/>
            </a:ln>
            <a:effectLst/>
          </c:spPr>
          <c:txPr>
            <a:bodyPr rot="0" spcFirstLastPara="1" vertOverflow="ellipsis" vert="horz" wrap="square" lIns="38100" tIns="19050" rIns="38100" bIns="19050" anchor="ctr" anchorCtr="1">
              <a:spAutoFit/>
            </a:bodyPr>
            <a:lstStyle/>
            <a:p>
              <a:pPr>
                <a:defRPr lang="en-US" sz="1200" b="0"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'Cash PV'!$B$3</c:f>
              <c:strCache>
                <c:ptCount val="1"/>
                <c:pt idx="0">
                  <c:v>Total</c:v>
                </c:pt>
              </c:strCache>
            </c:strRef>
          </c:tx>
          <c:spPr>
            <a:ln w="34925" cap="rnd">
              <a:solidFill>
                <a:srgbClr val="633164"/>
              </a:solidFill>
              <a:round/>
            </a:ln>
            <a:effectLst>
              <a:outerShdw blurRad="57150" dist="19050" dir="5400000" algn="ctr" rotWithShape="0">
                <a:srgbClr val="000000">
                  <a:alpha val="63000"/>
                </a:srgbClr>
              </a:outerShdw>
            </a:effectLst>
          </c:spPr>
          <c:marker>
            <c:symbol val="circle"/>
            <c:size val="6"/>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w="9525">
                <a:solidFill>
                  <a:schemeClr val="accent5"/>
                </a:solidFill>
                <a:round/>
              </a:ln>
              <a:effectLst>
                <a:outerShdw blurRad="57150" dist="19050" dir="5400000" algn="ctr" rotWithShape="0">
                  <a:srgbClr val="000000">
                    <a:alpha val="63000"/>
                  </a:srgbClr>
                </a:outerShdw>
              </a:effectLst>
            </c:spPr>
          </c:marker>
          <c:cat>
            <c:strRef>
              <c:f>'Cash PV'!$A$4:$A$15</c:f>
              <c:strCache>
                <c:ptCount val="12"/>
                <c:pt idx="0">
                  <c:v>7/31/23</c:v>
                </c:pt>
                <c:pt idx="1">
                  <c:v>8/31/23</c:v>
                </c:pt>
                <c:pt idx="2">
                  <c:v>9/30/23</c:v>
                </c:pt>
                <c:pt idx="3">
                  <c:v>10/31/23</c:v>
                </c:pt>
                <c:pt idx="4">
                  <c:v>11/30/23</c:v>
                </c:pt>
                <c:pt idx="5">
                  <c:v>12/31/23</c:v>
                </c:pt>
                <c:pt idx="6">
                  <c:v>1/31/24</c:v>
                </c:pt>
                <c:pt idx="7">
                  <c:v>2/29/24</c:v>
                </c:pt>
                <c:pt idx="8">
                  <c:v>3/31/24</c:v>
                </c:pt>
                <c:pt idx="9">
                  <c:v>4/30/24</c:v>
                </c:pt>
                <c:pt idx="10">
                  <c:v>5/31/24</c:v>
                </c:pt>
                <c:pt idx="11">
                  <c:v>6/30/24</c:v>
                </c:pt>
              </c:strCache>
            </c:strRef>
          </c:cat>
          <c:val>
            <c:numRef>
              <c:f>'Cash PV'!$B$4:$B$15</c:f>
              <c:numCache>
                <c:formatCode>_(* #,##0.00_);_(* \(#,##0.00\);_(* "-"??_);_(@_)</c:formatCode>
                <c:ptCount val="12"/>
                <c:pt idx="0">
                  <c:v>12733768</c:v>
                </c:pt>
                <c:pt idx="1">
                  <c:v>14992112</c:v>
                </c:pt>
                <c:pt idx="2">
                  <c:v>14792655</c:v>
                </c:pt>
                <c:pt idx="3">
                  <c:v>14048853</c:v>
                </c:pt>
                <c:pt idx="4">
                  <c:v>14016413</c:v>
                </c:pt>
                <c:pt idx="5">
                  <c:v>20540532</c:v>
                </c:pt>
                <c:pt idx="6">
                  <c:v>19232464</c:v>
                </c:pt>
                <c:pt idx="7">
                  <c:v>20990539</c:v>
                </c:pt>
                <c:pt idx="8">
                  <c:v>20188622</c:v>
                </c:pt>
                <c:pt idx="9">
                  <c:v>18586691</c:v>
                </c:pt>
                <c:pt idx="10">
                  <c:v>19333060</c:v>
                </c:pt>
                <c:pt idx="11">
                  <c:v>19383590</c:v>
                </c:pt>
              </c:numCache>
            </c:numRef>
          </c:val>
          <c:smooth val="0"/>
          <c:extLst>
            <c:ext xmlns:c16="http://schemas.microsoft.com/office/drawing/2014/chart" uri="{C3380CC4-5D6E-409C-BE32-E72D297353CC}">
              <c16:uniqueId val="{00000000-9883-47D6-8974-52846EEF2779}"/>
            </c:ext>
          </c:extLst>
        </c:ser>
        <c:dLbls>
          <c:showLegendKey val="0"/>
          <c:showVal val="0"/>
          <c:showCatName val="0"/>
          <c:showSerName val="0"/>
          <c:showPercent val="0"/>
          <c:showBubbleSize val="0"/>
        </c:dLbls>
        <c:marker val="1"/>
        <c:smooth val="0"/>
        <c:axId val="1584327695"/>
        <c:axId val="1584331055"/>
      </c:lineChart>
      <c:catAx>
        <c:axId val="158432769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200" b="0" i="0" u="none" strike="noStrike" kern="1200" baseline="0">
                <a:solidFill>
                  <a:sysClr val="windowText" lastClr="000000"/>
                </a:solidFill>
                <a:latin typeface="+mn-lt"/>
                <a:ea typeface="+mn-ea"/>
                <a:cs typeface="+mn-cs"/>
              </a:defRPr>
            </a:pPr>
            <a:endParaRPr lang="en-US"/>
          </a:p>
        </c:txPr>
        <c:crossAx val="1584331055"/>
        <c:crosses val="autoZero"/>
        <c:auto val="1"/>
        <c:lblAlgn val="ctr"/>
        <c:lblOffset val="100"/>
        <c:noMultiLvlLbl val="0"/>
      </c:catAx>
      <c:valAx>
        <c:axId val="1584331055"/>
        <c:scaling>
          <c:orientation val="minMax"/>
          <c:min val="50000"/>
        </c:scaling>
        <c:delete val="0"/>
        <c:axPos val="l"/>
        <c:majorGridlines>
          <c:spPr>
            <a:ln w="9525" cap="flat" cmpd="sng" algn="ctr">
              <a:solidFill>
                <a:schemeClr val="tx1">
                  <a:lumMod val="15000"/>
                  <a:lumOff val="85000"/>
                </a:schemeClr>
              </a:solidFill>
              <a:round/>
            </a:ln>
            <a:effectLst/>
          </c:spPr>
        </c:majorGridlines>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lang="en-US" sz="1200" b="0" i="0" u="none" strike="noStrike" kern="1200" baseline="0">
                <a:solidFill>
                  <a:sysClr val="windowText" lastClr="000000"/>
                </a:solidFill>
                <a:latin typeface="+mn-lt"/>
                <a:ea typeface="+mn-ea"/>
                <a:cs typeface="+mn-cs"/>
              </a:defRPr>
            </a:pPr>
            <a:endParaRPr lang="en-US"/>
          </a:p>
        </c:txPr>
        <c:crossAx val="15843276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rgbClr val="7030A0"/>
      </a:solidFill>
      <a:round/>
    </a:ln>
    <a:effectLst/>
  </c:spPr>
  <c:txPr>
    <a:bodyPr/>
    <a:lstStyle/>
    <a:p>
      <a:pPr>
        <a:defRPr lang="en-US" sz="1200" b="0" i="0" u="none" strike="noStrike" kern="1200" baseline="0">
          <a:solidFill>
            <a:sysClr val="windowText" lastClr="000000"/>
          </a:solidFill>
          <a:latin typeface="+mn-lt"/>
          <a:ea typeface="+mn-ea"/>
          <a:cs typeface="+mn-cs"/>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7"/>
    </mc:Choice>
    <mc:Fallback>
      <c:style val="7"/>
    </mc:Fallback>
  </mc:AlternateContent>
  <c:chart>
    <c:title>
      <c:overlay val="0"/>
      <c:spPr>
        <a:noFill/>
        <a:ln>
          <a:noFill/>
        </a:ln>
        <a:effectLst/>
      </c:spPr>
      <c:txPr>
        <a:bodyPr rot="0" spcFirstLastPara="1" vertOverflow="ellipsis" vert="horz" wrap="square" anchor="ctr" anchorCtr="1"/>
        <a:lstStyle/>
        <a:p>
          <a:pPr>
            <a:defRPr lang="en-US" sz="1440" b="1" i="0" u="none" strike="noStrike" kern="1200" cap="none" spc="50" normalizeH="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'LUNA CASH'!$B$15</c:f>
              <c:strCache>
                <c:ptCount val="1"/>
                <c:pt idx="0">
                  <c:v>Months of Unrestricted Cash</c:v>
                </c:pt>
              </c:strCache>
            </c:strRef>
          </c:tx>
          <c:spPr>
            <a:solidFill>
              <a:srgbClr val="633164">
                <a:alpha val="70000"/>
              </a:srgbClr>
            </a:solidFill>
            <a:ln>
              <a:noFill/>
            </a:ln>
            <a:effectLst/>
          </c:spPr>
          <c:invertIfNegative val="0"/>
          <c:dLbls>
            <c:spPr>
              <a:noFill/>
              <a:ln>
                <a:noFill/>
              </a:ln>
              <a:effectLst/>
            </c:spPr>
            <c:txPr>
              <a:bodyPr rot="0" spcFirstLastPara="1" vertOverflow="ellipsis" vert="horz" wrap="square" anchor="ctr" anchorCtr="1"/>
              <a:lstStyle/>
              <a:p>
                <a:pPr>
                  <a:defRPr lang="en-US" sz="12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'LUNA CASH'!$A$16:$A$27</c:f>
              <c:numCache>
                <c:formatCode>m/d/yyyy</c:formatCode>
                <c:ptCount val="12"/>
                <c:pt idx="0">
                  <c:v>45138</c:v>
                </c:pt>
                <c:pt idx="1">
                  <c:v>45169</c:v>
                </c:pt>
                <c:pt idx="2">
                  <c:v>45199</c:v>
                </c:pt>
                <c:pt idx="3">
                  <c:v>45230</c:v>
                </c:pt>
                <c:pt idx="4">
                  <c:v>45260</c:v>
                </c:pt>
                <c:pt idx="5">
                  <c:v>45291</c:v>
                </c:pt>
                <c:pt idx="6">
                  <c:v>45322</c:v>
                </c:pt>
                <c:pt idx="7">
                  <c:v>45351</c:v>
                </c:pt>
                <c:pt idx="8">
                  <c:v>45382</c:v>
                </c:pt>
                <c:pt idx="9">
                  <c:v>45412</c:v>
                </c:pt>
                <c:pt idx="10">
                  <c:v>45443</c:v>
                </c:pt>
                <c:pt idx="11">
                  <c:v>45473</c:v>
                </c:pt>
              </c:numCache>
            </c:numRef>
          </c:cat>
          <c:val>
            <c:numRef>
              <c:f>'LUNA CASH'!$B$16:$B$27</c:f>
              <c:numCache>
                <c:formatCode>_(* #,##0.00_);_(* \(#,##0.00\);_(* "-"??_);_(@_)</c:formatCode>
                <c:ptCount val="12"/>
                <c:pt idx="0">
                  <c:v>4.7911651099148278</c:v>
                </c:pt>
                <c:pt idx="1">
                  <c:v>5.0659215176454948</c:v>
                </c:pt>
                <c:pt idx="2">
                  <c:v>4.6422225447417036</c:v>
                </c:pt>
                <c:pt idx="3">
                  <c:v>4.2646376474571417</c:v>
                </c:pt>
                <c:pt idx="4">
                  <c:v>4.148560246157337</c:v>
                </c:pt>
                <c:pt idx="5">
                  <c:v>4.5450908731189719</c:v>
                </c:pt>
                <c:pt idx="6">
                  <c:v>4.1024062214158583</c:v>
                </c:pt>
                <c:pt idx="7">
                  <c:v>4.5891870106867874</c:v>
                </c:pt>
                <c:pt idx="8">
                  <c:v>4.3283925783723562</c:v>
                </c:pt>
                <c:pt idx="9">
                  <c:v>3.8484533981437998</c:v>
                </c:pt>
                <c:pt idx="10">
                  <c:v>4.0633092675840885</c:v>
                </c:pt>
                <c:pt idx="11">
                  <c:v>3.9657250677770808</c:v>
                </c:pt>
              </c:numCache>
            </c:numRef>
          </c:val>
          <c:extLst>
            <c:ext xmlns:c16="http://schemas.microsoft.com/office/drawing/2014/chart" uri="{C3380CC4-5D6E-409C-BE32-E72D297353CC}">
              <c16:uniqueId val="{00000000-1767-469E-959C-BDD2581CA4ED}"/>
            </c:ext>
          </c:extLst>
        </c:ser>
        <c:dLbls>
          <c:dLblPos val="outEnd"/>
          <c:showLegendKey val="0"/>
          <c:showVal val="1"/>
          <c:showCatName val="0"/>
          <c:showSerName val="0"/>
          <c:showPercent val="0"/>
          <c:showBubbleSize val="0"/>
        </c:dLbls>
        <c:gapWidth val="80"/>
        <c:overlap val="25"/>
        <c:axId val="1662260128"/>
        <c:axId val="1662261568"/>
      </c:barChart>
      <c:catAx>
        <c:axId val="1662260128"/>
        <c:scaling>
          <c:orientation val="minMax"/>
        </c:scaling>
        <c:delete val="0"/>
        <c:axPos val="b"/>
        <c:title>
          <c:tx>
            <c:rich>
              <a:bodyPr rot="0" spcFirstLastPara="1" vertOverflow="ellipsis" vert="horz" wrap="square" anchor="ctr" anchorCtr="1"/>
              <a:lstStyle/>
              <a:p>
                <a:pPr>
                  <a:defRPr lang="en-US" sz="1200" b="0" i="0" u="none" strike="noStrike" kern="1200" cap="all" baseline="0">
                    <a:solidFill>
                      <a:sysClr val="windowText" lastClr="000000"/>
                    </a:solidFill>
                    <a:latin typeface="+mn-lt"/>
                    <a:ea typeface="+mn-ea"/>
                    <a:cs typeface="+mn-cs"/>
                  </a:defRPr>
                </a:pPr>
                <a:r>
                  <a:rPr lang="en-US"/>
                  <a:t>Date</a:t>
                </a:r>
              </a:p>
            </c:rich>
          </c:tx>
          <c:overlay val="0"/>
          <c:spPr>
            <a:noFill/>
            <a:ln>
              <a:noFill/>
            </a:ln>
            <a:effectLst/>
          </c:spPr>
          <c:txPr>
            <a:bodyPr rot="0" spcFirstLastPara="1" vertOverflow="ellipsis" vert="horz" wrap="square" anchor="ctr" anchorCtr="1"/>
            <a:lstStyle/>
            <a:p>
              <a:pPr>
                <a:defRPr lang="en-US" sz="1200" b="0" i="0" u="none" strike="noStrike" kern="1200" cap="all" baseline="0">
                  <a:solidFill>
                    <a:sysClr val="windowText" lastClr="000000"/>
                  </a:solidFill>
                  <a:latin typeface="+mn-lt"/>
                  <a:ea typeface="+mn-ea"/>
                  <a:cs typeface="+mn-cs"/>
                </a:defRPr>
              </a:pPr>
              <a:endParaRPr lang="en-US"/>
            </a:p>
          </c:txPr>
        </c:title>
        <c:numFmt formatCode="m/d/yyyy"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lang="en-US" sz="1200" b="0" i="0" u="none" strike="noStrike" kern="1200" cap="none" spc="20" normalizeH="0" baseline="0">
                <a:solidFill>
                  <a:sysClr val="windowText" lastClr="000000"/>
                </a:solidFill>
                <a:latin typeface="+mn-lt"/>
                <a:ea typeface="+mn-ea"/>
                <a:cs typeface="+mn-cs"/>
              </a:defRPr>
            </a:pPr>
            <a:endParaRPr lang="en-US"/>
          </a:p>
        </c:txPr>
        <c:crossAx val="1662261568"/>
        <c:crosses val="autoZero"/>
        <c:auto val="0"/>
        <c:lblAlgn val="ctr"/>
        <c:lblOffset val="100"/>
        <c:noMultiLvlLbl val="0"/>
      </c:catAx>
      <c:valAx>
        <c:axId val="1662261568"/>
        <c:scaling>
          <c:orientation val="minMax"/>
        </c:scaling>
        <c:delete val="0"/>
        <c:axPos val="l"/>
        <c:majorGridlines>
          <c:spPr>
            <a:ln w="9525" cap="flat" cmpd="sng" algn="ctr">
              <a:solidFill>
                <a:schemeClr val="tx1">
                  <a:lumMod val="5000"/>
                  <a:lumOff val="95000"/>
                </a:schemeClr>
              </a:solidFill>
              <a:round/>
            </a:ln>
            <a:effectLst/>
          </c:spPr>
        </c:majorGridlines>
        <c:title>
          <c:tx>
            <c:rich>
              <a:bodyPr rot="-5400000" spcFirstLastPara="1" vertOverflow="ellipsis" vert="horz" wrap="square" anchor="ctr" anchorCtr="1"/>
              <a:lstStyle/>
              <a:p>
                <a:pPr>
                  <a:defRPr lang="en-US" sz="1200" b="0" i="0" u="none" strike="noStrike" kern="1200" cap="all" baseline="0">
                    <a:solidFill>
                      <a:sysClr val="windowText" lastClr="000000"/>
                    </a:solidFill>
                    <a:latin typeface="+mn-lt"/>
                    <a:ea typeface="+mn-ea"/>
                    <a:cs typeface="+mn-cs"/>
                  </a:defRPr>
                </a:pPr>
                <a:r>
                  <a:rPr lang="en-US"/>
                  <a:t>Number of Months</a:t>
                </a:r>
              </a:p>
            </c:rich>
          </c:tx>
          <c:overlay val="0"/>
          <c:spPr>
            <a:noFill/>
            <a:ln>
              <a:noFill/>
            </a:ln>
            <a:effectLst/>
          </c:spPr>
          <c:txPr>
            <a:bodyPr rot="-5400000" spcFirstLastPara="1" vertOverflow="ellipsis" vert="horz" wrap="square" anchor="ctr" anchorCtr="1"/>
            <a:lstStyle/>
            <a:p>
              <a:pPr>
                <a:defRPr lang="en-US" sz="1200" b="0" i="0" u="none" strike="noStrike" kern="1200" cap="all" baseline="0">
                  <a:solidFill>
                    <a:sysClr val="windowText" lastClr="000000"/>
                  </a:solidFill>
                  <a:latin typeface="+mn-lt"/>
                  <a:ea typeface="+mn-ea"/>
                  <a:cs typeface="+mn-cs"/>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lang="en-US" sz="1200" b="0" i="0" u="none" strike="noStrike" kern="1200" spc="20" baseline="0">
                <a:solidFill>
                  <a:sysClr val="windowText" lastClr="000000"/>
                </a:solidFill>
                <a:latin typeface="+mn-lt"/>
                <a:ea typeface="+mn-ea"/>
                <a:cs typeface="+mn-cs"/>
              </a:defRPr>
            </a:pPr>
            <a:endParaRPr lang="en-US"/>
          </a:p>
        </c:txPr>
        <c:crossAx val="16622601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lang="en-US" sz="1200" b="0" i="0" u="none" strike="noStrike" kern="1200" baseline="0">
          <a:solidFill>
            <a:sysClr val="windowText" lastClr="000000"/>
          </a:solidFill>
          <a:latin typeface="+mn-lt"/>
          <a:ea typeface="+mn-ea"/>
          <a:cs typeface="+mn-cs"/>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lang="en-US" sz="1440" b="0" i="0" u="none" strike="noStrike" kern="1200" spc="0" baseline="0">
                <a:solidFill>
                  <a:schemeClr val="tx1"/>
                </a:solidFill>
                <a:latin typeface="+mn-lt"/>
                <a:ea typeface="+mn-ea"/>
                <a:cs typeface="+mn-cs"/>
              </a:defRPr>
            </a:pPr>
            <a:r>
              <a:rPr lang="en-US"/>
              <a:t>      Total Liabilities FY</a:t>
            </a:r>
            <a:r>
              <a:rPr lang="en-US" baseline="0"/>
              <a:t> 23-24</a:t>
            </a:r>
            <a:endParaRPr lang="en-US"/>
          </a:p>
        </c:rich>
      </c:tx>
      <c:overlay val="0"/>
      <c:spPr>
        <a:noFill/>
        <a:ln>
          <a:noFill/>
        </a:ln>
        <a:effectLst/>
      </c:spPr>
      <c:txPr>
        <a:bodyPr rot="0" spcFirstLastPara="1" vertOverflow="ellipsis" vert="horz" wrap="square" anchor="ctr" anchorCtr="1"/>
        <a:lstStyle/>
        <a:p>
          <a:pPr>
            <a:defRPr lang="en-US" sz="1440" b="0" i="0" u="none" strike="noStrike" kern="1200" spc="0" baseline="0">
              <a:solidFill>
                <a:schemeClr val="tx1"/>
              </a:solidFill>
              <a:latin typeface="+mn-lt"/>
              <a:ea typeface="+mn-ea"/>
              <a:cs typeface="+mn-cs"/>
            </a:defRPr>
          </a:pPr>
          <a:endParaRPr lang="en-US"/>
        </a:p>
      </c:txPr>
    </c:title>
    <c:autoTitleDeleted val="0"/>
    <c:plotArea>
      <c:layout/>
      <c:lineChart>
        <c:grouping val="standard"/>
        <c:varyColors val="0"/>
        <c:ser>
          <c:idx val="0"/>
          <c:order val="0"/>
          <c:tx>
            <c:strRef>
              <c:f>'Liabilities Date'!$A$16</c:f>
              <c:strCache>
                <c:ptCount val="1"/>
                <c:pt idx="0">
                  <c:v>      Total Liabilities</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'Liabilities Date'!$B$14:$M$15</c:f>
              <c:strCache>
                <c:ptCount val="12"/>
                <c:pt idx="0">
                  <c:v>7/31/2023</c:v>
                </c:pt>
                <c:pt idx="1">
                  <c:v>8/31/2023</c:v>
                </c:pt>
                <c:pt idx="2">
                  <c:v>9/30/2023</c:v>
                </c:pt>
                <c:pt idx="3">
                  <c:v>10/31/2023</c:v>
                </c:pt>
                <c:pt idx="4">
                  <c:v>11/30/2023</c:v>
                </c:pt>
                <c:pt idx="5">
                  <c:v>12/31/2023</c:v>
                </c:pt>
                <c:pt idx="6">
                  <c:v>1/31/2024</c:v>
                </c:pt>
                <c:pt idx="7">
                  <c:v>2/29/2024</c:v>
                </c:pt>
                <c:pt idx="8">
                  <c:v>3/31/2024</c:v>
                </c:pt>
                <c:pt idx="9">
                  <c:v>4/30/2024</c:v>
                </c:pt>
                <c:pt idx="10">
                  <c:v>5/31/2024</c:v>
                </c:pt>
                <c:pt idx="11">
                  <c:v>6/30/2024</c:v>
                </c:pt>
              </c:strCache>
            </c:strRef>
          </c:cat>
          <c:val>
            <c:numRef>
              <c:f>'Liabilities Date'!$B$16:$M$16</c:f>
              <c:numCache>
                <c:formatCode>_("$"* #,##0.00_);_("$"* \(#,##0.00\);_("$"* "-"??_);_(@_)</c:formatCode>
                <c:ptCount val="12"/>
                <c:pt idx="0">
                  <c:v>1587662</c:v>
                </c:pt>
                <c:pt idx="1">
                  <c:v>2695534</c:v>
                </c:pt>
                <c:pt idx="2">
                  <c:v>2501904</c:v>
                </c:pt>
                <c:pt idx="3">
                  <c:v>2386543</c:v>
                </c:pt>
                <c:pt idx="4">
                  <c:v>2331905</c:v>
                </c:pt>
                <c:pt idx="5">
                  <c:v>2245389</c:v>
                </c:pt>
                <c:pt idx="6">
                  <c:v>2350745</c:v>
                </c:pt>
                <c:pt idx="7">
                  <c:v>2017720</c:v>
                </c:pt>
                <c:pt idx="8">
                  <c:v>2190970</c:v>
                </c:pt>
                <c:pt idx="9">
                  <c:v>2237949</c:v>
                </c:pt>
                <c:pt idx="10">
                  <c:v>2114299</c:v>
                </c:pt>
                <c:pt idx="11">
                  <c:v>2078770</c:v>
                </c:pt>
              </c:numCache>
            </c:numRef>
          </c:val>
          <c:smooth val="0"/>
          <c:extLst>
            <c:ext xmlns:c16="http://schemas.microsoft.com/office/drawing/2014/chart" uri="{C3380CC4-5D6E-409C-BE32-E72D297353CC}">
              <c16:uniqueId val="{00000000-9CBD-4A50-9775-DC0845959D0C}"/>
            </c:ext>
          </c:extLst>
        </c:ser>
        <c:dLbls>
          <c:showLegendKey val="0"/>
          <c:showVal val="0"/>
          <c:showCatName val="0"/>
          <c:showSerName val="0"/>
          <c:showPercent val="0"/>
          <c:showBubbleSize val="0"/>
        </c:dLbls>
        <c:marker val="1"/>
        <c:smooth val="0"/>
        <c:axId val="136180079"/>
        <c:axId val="136179119"/>
      </c:lineChart>
      <c:catAx>
        <c:axId val="136180079"/>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200" b="0" i="0" u="none" strike="noStrike" kern="1200" baseline="0">
                <a:solidFill>
                  <a:schemeClr val="tx1"/>
                </a:solidFill>
                <a:latin typeface="+mn-lt"/>
                <a:ea typeface="+mn-ea"/>
                <a:cs typeface="+mn-cs"/>
              </a:defRPr>
            </a:pPr>
            <a:endParaRPr lang="en-US"/>
          </a:p>
        </c:txPr>
        <c:crossAx val="136179119"/>
        <c:crosses val="autoZero"/>
        <c:auto val="0"/>
        <c:lblAlgn val="ctr"/>
        <c:lblOffset val="100"/>
        <c:noMultiLvlLbl val="0"/>
      </c:catAx>
      <c:valAx>
        <c:axId val="136179119"/>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lang="en-US" sz="1200" b="0" i="0" u="none" strike="noStrike" kern="1200" baseline="0">
                <a:solidFill>
                  <a:schemeClr val="tx1"/>
                </a:solidFill>
                <a:latin typeface="+mn-lt"/>
                <a:ea typeface="+mn-ea"/>
                <a:cs typeface="+mn-cs"/>
              </a:defRPr>
            </a:pPr>
            <a:endParaRPr lang="en-US"/>
          </a:p>
        </c:txPr>
        <c:crossAx val="1361800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sz="12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40" b="1" i="0" u="none" strike="noStrike" kern="1200" baseline="0">
                <a:solidFill>
                  <a:schemeClr val="tx1">
                    <a:lumMod val="65000"/>
                    <a:lumOff val="35000"/>
                  </a:schemeClr>
                </a:solidFill>
                <a:latin typeface="+mn-lt"/>
                <a:ea typeface="+mn-ea"/>
                <a:cs typeface="+mn-cs"/>
              </a:defRPr>
            </a:pPr>
            <a:r>
              <a:rPr lang="en-US"/>
              <a:t>Total Net assets as of 06/30/24</a:t>
            </a:r>
          </a:p>
        </c:rich>
      </c:tx>
      <c:overlay val="0"/>
      <c:spPr>
        <a:noFill/>
        <a:ln>
          <a:noFill/>
        </a:ln>
        <a:effectLst/>
      </c:spPr>
      <c:txPr>
        <a:bodyPr rot="0" spcFirstLastPara="1" vertOverflow="ellipsis" vert="horz" wrap="square" anchor="ctr" anchorCtr="1"/>
        <a:lstStyle/>
        <a:p>
          <a:pPr>
            <a:defRPr sz="1440" b="1" i="0" u="none" strike="noStrike" kern="120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5">
                      <a:shade val="76000"/>
                      <a:satMod val="103000"/>
                      <a:lumMod val="102000"/>
                      <a:tint val="94000"/>
                    </a:schemeClr>
                  </a:gs>
                  <a:gs pos="50000">
                    <a:schemeClr val="accent5">
                      <a:shade val="76000"/>
                      <a:satMod val="110000"/>
                      <a:lumMod val="100000"/>
                      <a:shade val="100000"/>
                    </a:schemeClr>
                  </a:gs>
                  <a:gs pos="100000">
                    <a:schemeClr val="accent5">
                      <a:shade val="76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19DA-49BB-961D-E958DC2760FA}"/>
              </c:ext>
            </c:extLst>
          </c:dPt>
          <c:dPt>
            <c:idx val="1"/>
            <c:bubble3D val="0"/>
            <c:spPr>
              <a:gradFill rotWithShape="1">
                <a:gsLst>
                  <a:gs pos="0">
                    <a:schemeClr val="accent5">
                      <a:tint val="77000"/>
                      <a:satMod val="103000"/>
                      <a:lumMod val="102000"/>
                      <a:tint val="94000"/>
                    </a:schemeClr>
                  </a:gs>
                  <a:gs pos="50000">
                    <a:schemeClr val="accent5">
                      <a:tint val="77000"/>
                      <a:satMod val="110000"/>
                      <a:lumMod val="100000"/>
                      <a:shade val="100000"/>
                    </a:schemeClr>
                  </a:gs>
                  <a:gs pos="100000">
                    <a:schemeClr val="accent5">
                      <a:tint val="77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19DA-49BB-961D-E958DC2760FA}"/>
              </c:ext>
            </c:extLst>
          </c:dPt>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'Net Assets'!$A$17:$A$18</c:f>
              <c:strCache>
                <c:ptCount val="2"/>
                <c:pt idx="0">
                  <c:v>Without Donor Restrictions</c:v>
                </c:pt>
                <c:pt idx="1">
                  <c:v>With Donor Restrictions</c:v>
                </c:pt>
              </c:strCache>
            </c:strRef>
          </c:cat>
          <c:val>
            <c:numRef>
              <c:f>'Net Assets'!$B$17:$B$18</c:f>
              <c:numCache>
                <c:formatCode>_("$"* #,##0_);_("$"* \(#,##0\);_("$"* "-"??_);_(@_)</c:formatCode>
                <c:ptCount val="2"/>
                <c:pt idx="0">
                  <c:v>42116765.909999996</c:v>
                </c:pt>
                <c:pt idx="1">
                  <c:v>11618656.090000002</c:v>
                </c:pt>
              </c:numCache>
            </c:numRef>
          </c:val>
          <c:extLst>
            <c:ext xmlns:c16="http://schemas.microsoft.com/office/drawing/2014/chart" uri="{C3380CC4-5D6E-409C-BE32-E72D297353CC}">
              <c16:uniqueId val="{00000000-13AC-4CB6-B414-1C3F68969EEF}"/>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baseline="0">
                <a:solidFill>
                  <a:sysClr val="windowText" lastClr="000000"/>
                </a:solidFill>
                <a:latin typeface="+mn-lt"/>
                <a:ea typeface="+mn-ea"/>
                <a:cs typeface="+mn-cs"/>
              </a:defRPr>
            </a:pPr>
            <a:r>
              <a:rPr lang="en-US"/>
              <a:t>Total Revenue to date</a:t>
            </a:r>
          </a:p>
        </c:rich>
      </c:tx>
      <c:overlay val="0"/>
      <c:spPr>
        <a:noFill/>
        <a:ln>
          <a:noFill/>
        </a:ln>
        <a:effectLst/>
      </c:spPr>
      <c:txPr>
        <a:bodyPr rot="0" spcFirstLastPara="1" vertOverflow="ellipsis" vert="horz" wrap="square" anchor="ctr" anchorCtr="1"/>
        <a:lstStyle/>
        <a:p>
          <a:pPr>
            <a:defRPr sz="1440" b="1" i="0" u="none" strike="noStrike" kern="1200" baseline="0">
              <a:solidFill>
                <a:sysClr val="windowText" lastClr="000000"/>
              </a:solidFill>
              <a:latin typeface="+mn-lt"/>
              <a:ea typeface="+mn-ea"/>
              <a:cs typeface="+mn-cs"/>
            </a:defRPr>
          </a:pPr>
          <a:endParaRPr lang="en-US"/>
        </a:p>
      </c:txPr>
    </c:title>
    <c:autoTitleDeleted val="0"/>
    <c:plotArea>
      <c:layout/>
      <c:doughnut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062E-43E0-971F-B65274F587F7}"/>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062E-43E0-971F-B65274F587F7}"/>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062E-43E0-971F-B65274F587F7}"/>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062E-43E0-971F-B65274F587F7}"/>
              </c:ext>
            </c:extLst>
          </c:dPt>
          <c:dLbls>
            <c:spPr>
              <a:solidFill>
                <a:schemeClr val="lt1"/>
              </a:solidFill>
              <a:ln>
                <a:noFill/>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'Revenue Data'!$A$29:$A$32</c:f>
              <c:strCache>
                <c:ptCount val="4"/>
                <c:pt idx="0">
                  <c:v>Contributions, foundations, trusts and bequests</c:v>
                </c:pt>
                <c:pt idx="1">
                  <c:v>Other Revenue and Support</c:v>
                </c:pt>
                <c:pt idx="2">
                  <c:v>Grants</c:v>
                </c:pt>
                <c:pt idx="3">
                  <c:v>Contributed facilities, goods and services</c:v>
                </c:pt>
              </c:strCache>
            </c:strRef>
          </c:cat>
          <c:val>
            <c:numRef>
              <c:f>'Revenue Data'!$B$29:$B$32</c:f>
              <c:numCache>
                <c:formatCode>_(* #,##0.00_);_(* \(#,##0.00\);_(* "-"??_);_(@_)</c:formatCode>
                <c:ptCount val="4"/>
                <c:pt idx="0">
                  <c:v>8820664</c:v>
                </c:pt>
                <c:pt idx="1">
                  <c:v>832670</c:v>
                </c:pt>
                <c:pt idx="2">
                  <c:v>33700325</c:v>
                </c:pt>
                <c:pt idx="3">
                  <c:v>13281750</c:v>
                </c:pt>
              </c:numCache>
            </c:numRef>
          </c:val>
          <c:extLst>
            <c:ext xmlns:c16="http://schemas.microsoft.com/office/drawing/2014/chart" uri="{C3380CC4-5D6E-409C-BE32-E72D297353CC}">
              <c16:uniqueId val="{00000000-0A6D-45AB-919E-126874C2ECAB}"/>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25000"/>
          <a:lumOff val="75000"/>
        </a:schemeClr>
      </a:solid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Total Expenses to Date</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doughnut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941D-4A05-AD4E-CCD634A8B958}"/>
              </c:ext>
            </c:extLst>
          </c:dPt>
          <c:dPt>
            <c:idx val="1"/>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941D-4A05-AD4E-CCD634A8B958}"/>
              </c:ext>
            </c:extLst>
          </c:dPt>
          <c:dPt>
            <c:idx val="2"/>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941D-4A05-AD4E-CCD634A8B958}"/>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'Expenses Data'!$A$10:$A$12</c:f>
              <c:strCache>
                <c:ptCount val="3"/>
                <c:pt idx="0">
                  <c:v>Community Based Services</c:v>
                </c:pt>
                <c:pt idx="1">
                  <c:v>Child Development Services</c:v>
                </c:pt>
                <c:pt idx="2">
                  <c:v>General Admin, Fund Raising &amp; Ministries</c:v>
                </c:pt>
              </c:strCache>
            </c:strRef>
          </c:cat>
          <c:val>
            <c:numRef>
              <c:f>'Expenses Data'!$B$10:$B$12</c:f>
              <c:numCache>
                <c:formatCode>_(* #,##0.00_);_(* \(#,##0.00\);_(* "-"??_);_(@_)</c:formatCode>
                <c:ptCount val="3"/>
                <c:pt idx="0">
                  <c:v>20353031</c:v>
                </c:pt>
                <c:pt idx="1">
                  <c:v>18533193</c:v>
                </c:pt>
                <c:pt idx="2">
                  <c:v>4638445</c:v>
                </c:pt>
              </c:numCache>
            </c:numRef>
          </c:val>
          <c:extLst>
            <c:ext xmlns:c16="http://schemas.microsoft.com/office/drawing/2014/chart" uri="{C3380CC4-5D6E-409C-BE32-E72D297353CC}">
              <c16:uniqueId val="{00000000-37BA-4666-BFC4-45D51F1FF3E4}"/>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pivotSource>
    <c:name>[Finance Dashboard FY 23-24.xlsx]Cash PV!PivotTable4</c:name>
    <c:fmtId val="2"/>
  </c:pivotSource>
  <c:chart>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en-US"/>
              <a:t>Cash Analysis</a:t>
            </a:r>
          </a:p>
        </c:rich>
      </c:tx>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en-US"/>
        </a:p>
      </c:txPr>
    </c:title>
    <c:autoTitleDeleted val="0"/>
    <c:pivotFmts>
      <c:pivotFmt>
        <c:idx val="0"/>
        <c:spPr>
          <a:ln w="34925" cap="rnd">
            <a:solidFill>
              <a:schemeClr val="accent5"/>
            </a:solidFill>
            <a:round/>
          </a:ln>
          <a:effectLst>
            <a:outerShdw blurRad="57150" dist="19050" dir="5400000" algn="ctr" rotWithShape="0">
              <a:srgbClr val="000000">
                <a:alpha val="63000"/>
              </a:srgbClr>
            </a:outerShdw>
          </a:effectLst>
        </c:spPr>
        <c:marker>
          <c:symbol val="circle"/>
          <c:size val="6"/>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w="9525">
              <a:solidFill>
                <a:schemeClr val="accent5"/>
              </a:solidFill>
              <a:round/>
            </a:ln>
            <a:effectLst>
              <a:outerShdw blurRad="57150" dist="19050" dir="5400000" algn="ctr" rotWithShape="0">
                <a:srgbClr val="000000">
                  <a:alpha val="63000"/>
                </a:srgbClr>
              </a:outerShd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'Cash PV'!$B$3</c:f>
              <c:strCache>
                <c:ptCount val="1"/>
                <c:pt idx="0">
                  <c:v>Total</c:v>
                </c:pt>
              </c:strCache>
            </c:strRef>
          </c:tx>
          <c:spPr>
            <a:ln w="34925" cap="rnd">
              <a:solidFill>
                <a:schemeClr val="accent5"/>
              </a:solidFill>
              <a:round/>
            </a:ln>
            <a:effectLst>
              <a:outerShdw blurRad="57150" dist="19050" dir="5400000" algn="ctr" rotWithShape="0">
                <a:srgbClr val="000000">
                  <a:alpha val="63000"/>
                </a:srgbClr>
              </a:outerShdw>
            </a:effectLst>
          </c:spPr>
          <c:marker>
            <c:symbol val="circle"/>
            <c:size val="6"/>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w="9525">
                <a:solidFill>
                  <a:schemeClr val="accent5"/>
                </a:solidFill>
                <a:round/>
              </a:ln>
              <a:effectLst>
                <a:outerShdw blurRad="57150" dist="19050" dir="5400000" algn="ctr" rotWithShape="0">
                  <a:srgbClr val="000000">
                    <a:alpha val="63000"/>
                  </a:srgbClr>
                </a:outerShdw>
              </a:effectLst>
            </c:spPr>
          </c:marker>
          <c:cat>
            <c:strRef>
              <c:f>'Cash PV'!$A$4:$A$15</c:f>
              <c:strCache>
                <c:ptCount val="12"/>
                <c:pt idx="0">
                  <c:v>7/31/23</c:v>
                </c:pt>
                <c:pt idx="1">
                  <c:v>8/31/23</c:v>
                </c:pt>
                <c:pt idx="2">
                  <c:v>9/30/23</c:v>
                </c:pt>
                <c:pt idx="3">
                  <c:v>10/31/23</c:v>
                </c:pt>
                <c:pt idx="4">
                  <c:v>11/30/23</c:v>
                </c:pt>
                <c:pt idx="5">
                  <c:v>12/31/23</c:v>
                </c:pt>
                <c:pt idx="6">
                  <c:v>1/31/24</c:v>
                </c:pt>
                <c:pt idx="7">
                  <c:v>2/29/24</c:v>
                </c:pt>
                <c:pt idx="8">
                  <c:v>3/31/24</c:v>
                </c:pt>
                <c:pt idx="9">
                  <c:v>4/30/24</c:v>
                </c:pt>
                <c:pt idx="10">
                  <c:v>5/31/24</c:v>
                </c:pt>
                <c:pt idx="11">
                  <c:v>6/30/24</c:v>
                </c:pt>
              </c:strCache>
            </c:strRef>
          </c:cat>
          <c:val>
            <c:numRef>
              <c:f>'Cash PV'!$B$4:$B$15</c:f>
              <c:numCache>
                <c:formatCode>_(* #,##0.00_);_(* \(#,##0.00\);_(* "-"??_);_(@_)</c:formatCode>
                <c:ptCount val="12"/>
                <c:pt idx="0">
                  <c:v>12733768</c:v>
                </c:pt>
                <c:pt idx="1">
                  <c:v>14992112</c:v>
                </c:pt>
                <c:pt idx="2">
                  <c:v>14792655</c:v>
                </c:pt>
                <c:pt idx="3">
                  <c:v>14048853</c:v>
                </c:pt>
                <c:pt idx="4">
                  <c:v>14016413</c:v>
                </c:pt>
                <c:pt idx="5">
                  <c:v>20540532</c:v>
                </c:pt>
                <c:pt idx="6">
                  <c:v>19232464</c:v>
                </c:pt>
                <c:pt idx="7">
                  <c:v>20990539</c:v>
                </c:pt>
                <c:pt idx="8">
                  <c:v>20188622</c:v>
                </c:pt>
                <c:pt idx="9">
                  <c:v>18586691</c:v>
                </c:pt>
                <c:pt idx="10">
                  <c:v>19333060</c:v>
                </c:pt>
                <c:pt idx="11">
                  <c:v>19383590</c:v>
                </c:pt>
              </c:numCache>
            </c:numRef>
          </c:val>
          <c:smooth val="0"/>
          <c:extLst>
            <c:ext xmlns:c16="http://schemas.microsoft.com/office/drawing/2014/chart" uri="{C3380CC4-5D6E-409C-BE32-E72D297353CC}">
              <c16:uniqueId val="{00000000-1003-4E09-93D1-58A6D47A23F9}"/>
            </c:ext>
          </c:extLst>
        </c:ser>
        <c:dLbls>
          <c:showLegendKey val="0"/>
          <c:showVal val="0"/>
          <c:showCatName val="0"/>
          <c:showSerName val="0"/>
          <c:showPercent val="0"/>
          <c:showBubbleSize val="0"/>
        </c:dLbls>
        <c:marker val="1"/>
        <c:smooth val="0"/>
        <c:axId val="1584327695"/>
        <c:axId val="1584331055"/>
      </c:lineChart>
      <c:catAx>
        <c:axId val="158432769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84331055"/>
        <c:crosses val="autoZero"/>
        <c:auto val="1"/>
        <c:lblAlgn val="ctr"/>
        <c:lblOffset val="100"/>
        <c:noMultiLvlLbl val="0"/>
      </c:catAx>
      <c:valAx>
        <c:axId val="1584331055"/>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843276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overlay val="0"/>
      <c:spPr>
        <a:noFill/>
        <a:ln>
          <a:noFill/>
        </a:ln>
        <a:effectLst/>
      </c:spPr>
      <c:txPr>
        <a:bodyPr rot="0" spcFirstLastPara="1" vertOverflow="ellipsis" vert="horz" wrap="square" anchor="ctr" anchorCtr="1"/>
        <a:lstStyle/>
        <a:p>
          <a:pPr>
            <a:defRPr sz="1600" b="0" i="0" u="none" strike="noStrike" kern="1200" cap="none" spc="50" normalizeH="0" baseline="0">
              <a:solidFill>
                <a:schemeClr val="tx1">
                  <a:lumMod val="65000"/>
                  <a:lumOff val="35000"/>
                </a:schemeClr>
              </a:solidFill>
              <a:latin typeface="+mj-lt"/>
              <a:ea typeface="+mj-ea"/>
              <a:cs typeface="+mj-cs"/>
            </a:defRPr>
          </a:pPr>
          <a:endParaRPr lang="en-US"/>
        </a:p>
      </c:txPr>
    </c:title>
    <c:autoTitleDeleted val="0"/>
    <c:plotArea>
      <c:layout/>
      <c:barChart>
        <c:barDir val="col"/>
        <c:grouping val="clustered"/>
        <c:varyColors val="0"/>
        <c:ser>
          <c:idx val="0"/>
          <c:order val="0"/>
          <c:tx>
            <c:strRef>
              <c:f>'Luna Analysis'!$A$26</c:f>
              <c:strCache>
                <c:ptCount val="1"/>
                <c:pt idx="0">
                  <c:v>Months of Unrestricted Net Assets (LUNA)</c:v>
                </c:pt>
              </c:strCache>
            </c:strRef>
          </c:tx>
          <c:spPr>
            <a:solidFill>
              <a:schemeClr val="accent5">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15875" cap="rnd">
                <a:solidFill>
                  <a:schemeClr val="accent5"/>
                </a:solidFill>
              </a:ln>
              <a:effectLst/>
            </c:spPr>
            <c:trendlineType val="linear"/>
            <c:dispRSqr val="0"/>
            <c:dispEq val="0"/>
          </c:trendline>
          <c:cat>
            <c:numRef>
              <c:f>'Luna Analysis'!$B$25:$M$25</c:f>
              <c:numCache>
                <c:formatCode>m/d/yyyy</c:formatCode>
                <c:ptCount val="12"/>
                <c:pt idx="0">
                  <c:v>45138</c:v>
                </c:pt>
                <c:pt idx="1">
                  <c:v>45169</c:v>
                </c:pt>
                <c:pt idx="2">
                  <c:v>45199</c:v>
                </c:pt>
                <c:pt idx="3">
                  <c:v>45230</c:v>
                </c:pt>
                <c:pt idx="4">
                  <c:v>45260</c:v>
                </c:pt>
                <c:pt idx="5">
                  <c:v>45291</c:v>
                </c:pt>
                <c:pt idx="6">
                  <c:v>45322</c:v>
                </c:pt>
                <c:pt idx="7">
                  <c:v>45351</c:v>
                </c:pt>
                <c:pt idx="8">
                  <c:v>45382</c:v>
                </c:pt>
                <c:pt idx="9">
                  <c:v>45412</c:v>
                </c:pt>
                <c:pt idx="10">
                  <c:v>45443</c:v>
                </c:pt>
                <c:pt idx="11">
                  <c:v>45473</c:v>
                </c:pt>
              </c:numCache>
            </c:numRef>
          </c:cat>
          <c:val>
            <c:numRef>
              <c:f>'Luna Analysis'!$B$26:$M$26</c:f>
              <c:numCache>
                <c:formatCode>_(* #,##0.00_);_(* \(#,##0.00\);_(* "-"??_);_(@_)</c:formatCode>
                <c:ptCount val="12"/>
                <c:pt idx="0">
                  <c:v>5.9191381043346167</c:v>
                </c:pt>
                <c:pt idx="1">
                  <c:v>5.8243692734797046</c:v>
                </c:pt>
                <c:pt idx="2">
                  <c:v>5.4205773775846575</c:v>
                </c:pt>
                <c:pt idx="3">
                  <c:v>5.2698170678850893</c:v>
                </c:pt>
                <c:pt idx="4">
                  <c:v>5.1636822256946253</c:v>
                </c:pt>
                <c:pt idx="5">
                  <c:v>6.8589671764964111</c:v>
                </c:pt>
                <c:pt idx="6">
                  <c:v>6.8916838385986541</c:v>
                </c:pt>
                <c:pt idx="7">
                  <c:v>6.8578803180850256</c:v>
                </c:pt>
                <c:pt idx="8">
                  <c:v>5.367796715217751</c:v>
                </c:pt>
                <c:pt idx="9">
                  <c:v>5.2218164511485741</c:v>
                </c:pt>
                <c:pt idx="10">
                  <c:v>5.3242613858505781</c:v>
                </c:pt>
                <c:pt idx="11">
                  <c:v>5.0221271068138389</c:v>
                </c:pt>
              </c:numCache>
            </c:numRef>
          </c:val>
          <c:extLst>
            <c:ext xmlns:c16="http://schemas.microsoft.com/office/drawing/2014/chart" uri="{C3380CC4-5D6E-409C-BE32-E72D297353CC}">
              <c16:uniqueId val="{00000000-28F6-4956-B5DB-A499DB89909A}"/>
            </c:ext>
          </c:extLst>
        </c:ser>
        <c:dLbls>
          <c:dLblPos val="outEnd"/>
          <c:showLegendKey val="0"/>
          <c:showVal val="1"/>
          <c:showCatName val="0"/>
          <c:showSerName val="0"/>
          <c:showPercent val="0"/>
          <c:showBubbleSize val="0"/>
        </c:dLbls>
        <c:gapWidth val="80"/>
        <c:overlap val="25"/>
        <c:axId val="619704719"/>
        <c:axId val="619696079"/>
      </c:barChart>
      <c:catAx>
        <c:axId val="619704719"/>
        <c:scaling>
          <c:orientation val="minMax"/>
        </c:scaling>
        <c:delete val="0"/>
        <c:axPos val="b"/>
        <c:title>
          <c:tx>
            <c:rich>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US"/>
                  <a:t>Date</a:t>
                </a:r>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m/d/yyyy"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en-US"/>
          </a:p>
        </c:txPr>
        <c:crossAx val="619696079"/>
        <c:crosses val="autoZero"/>
        <c:auto val="0"/>
        <c:lblAlgn val="ctr"/>
        <c:lblOffset val="100"/>
        <c:noMultiLvlLbl val="0"/>
      </c:catAx>
      <c:valAx>
        <c:axId val="619696079"/>
        <c:scaling>
          <c:orientation val="minMax"/>
        </c:scaling>
        <c:delete val="0"/>
        <c:axPos val="l"/>
        <c:majorGridlines>
          <c:spPr>
            <a:ln w="9525" cap="flat" cmpd="sng" algn="ctr">
              <a:solidFill>
                <a:schemeClr val="tx1">
                  <a:lumMod val="5000"/>
                  <a:lumOff val="9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US"/>
                  <a:t>Number of Months</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n-US"/>
          </a:p>
        </c:txPr>
        <c:crossAx val="6197047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overlay val="0"/>
      <c:spPr>
        <a:noFill/>
        <a:ln>
          <a:noFill/>
        </a:ln>
        <a:effectLst/>
      </c:spPr>
      <c:txPr>
        <a:bodyPr rot="0" spcFirstLastPara="1" vertOverflow="ellipsis" vert="horz" wrap="square" anchor="ctr" anchorCtr="1"/>
        <a:lstStyle/>
        <a:p>
          <a:pPr>
            <a:defRPr sz="1600" b="0" i="0" u="none" strike="noStrike" kern="1200" cap="none" spc="50" normalizeH="0" baseline="0">
              <a:solidFill>
                <a:schemeClr val="tx1">
                  <a:lumMod val="65000"/>
                  <a:lumOff val="35000"/>
                </a:schemeClr>
              </a:solidFill>
              <a:latin typeface="+mj-lt"/>
              <a:ea typeface="+mj-ea"/>
              <a:cs typeface="+mj-cs"/>
            </a:defRPr>
          </a:pPr>
          <a:endParaRPr lang="en-US"/>
        </a:p>
      </c:txPr>
    </c:title>
    <c:autoTitleDeleted val="0"/>
    <c:plotArea>
      <c:layout/>
      <c:barChart>
        <c:barDir val="col"/>
        <c:grouping val="clustered"/>
        <c:varyColors val="0"/>
        <c:ser>
          <c:idx val="0"/>
          <c:order val="0"/>
          <c:tx>
            <c:strRef>
              <c:f>'Luna Analysis'!$A$49</c:f>
              <c:strCache>
                <c:ptCount val="1"/>
                <c:pt idx="0">
                  <c:v>Months of Unrestricted Cash</c:v>
                </c:pt>
              </c:strCache>
            </c:strRef>
          </c:tx>
          <c:spPr>
            <a:solidFill>
              <a:schemeClr val="accent5">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15875" cap="rnd">
                <a:solidFill>
                  <a:schemeClr val="accent5"/>
                </a:solidFill>
              </a:ln>
              <a:effectLst/>
            </c:spPr>
            <c:trendlineType val="linear"/>
            <c:dispRSqr val="0"/>
            <c:dispEq val="0"/>
          </c:trendline>
          <c:cat>
            <c:numRef>
              <c:f>'Luna Analysis'!$B$48:$M$48</c:f>
              <c:numCache>
                <c:formatCode>m/d/yyyy</c:formatCode>
                <c:ptCount val="12"/>
                <c:pt idx="0">
                  <c:v>45138</c:v>
                </c:pt>
                <c:pt idx="1">
                  <c:v>45169</c:v>
                </c:pt>
                <c:pt idx="2">
                  <c:v>45199</c:v>
                </c:pt>
                <c:pt idx="3">
                  <c:v>45230</c:v>
                </c:pt>
                <c:pt idx="4">
                  <c:v>45260</c:v>
                </c:pt>
                <c:pt idx="5">
                  <c:v>45291</c:v>
                </c:pt>
                <c:pt idx="6">
                  <c:v>45322</c:v>
                </c:pt>
                <c:pt idx="7">
                  <c:v>45351</c:v>
                </c:pt>
                <c:pt idx="8">
                  <c:v>45382</c:v>
                </c:pt>
                <c:pt idx="9">
                  <c:v>45412</c:v>
                </c:pt>
                <c:pt idx="10">
                  <c:v>45443</c:v>
                </c:pt>
                <c:pt idx="11">
                  <c:v>45473</c:v>
                </c:pt>
              </c:numCache>
            </c:numRef>
          </c:cat>
          <c:val>
            <c:numRef>
              <c:f>'Luna Analysis'!$B$49:$M$49</c:f>
              <c:numCache>
                <c:formatCode>_(* #,##0.00_);_(* \(#,##0.00\);_(* "-"??_);_(@_)</c:formatCode>
                <c:ptCount val="12"/>
                <c:pt idx="0">
                  <c:v>4.7911651099148278</c:v>
                </c:pt>
                <c:pt idx="1">
                  <c:v>5.0659215176454948</c:v>
                </c:pt>
                <c:pt idx="2">
                  <c:v>4.6422225447417036</c:v>
                </c:pt>
                <c:pt idx="3">
                  <c:v>4.2646376474571417</c:v>
                </c:pt>
                <c:pt idx="4">
                  <c:v>4.148560246157337</c:v>
                </c:pt>
                <c:pt idx="5">
                  <c:v>4.5450908731189719</c:v>
                </c:pt>
                <c:pt idx="6">
                  <c:v>4.1024062214158583</c:v>
                </c:pt>
                <c:pt idx="7">
                  <c:v>4.5891870106867874</c:v>
                </c:pt>
                <c:pt idx="8">
                  <c:v>4.3283925783723562</c:v>
                </c:pt>
                <c:pt idx="9">
                  <c:v>3.8484533981437998</c:v>
                </c:pt>
                <c:pt idx="10">
                  <c:v>4.0633092675840885</c:v>
                </c:pt>
                <c:pt idx="11">
                  <c:v>3.9657250677770808</c:v>
                </c:pt>
              </c:numCache>
            </c:numRef>
          </c:val>
          <c:extLst>
            <c:ext xmlns:c16="http://schemas.microsoft.com/office/drawing/2014/chart" uri="{C3380CC4-5D6E-409C-BE32-E72D297353CC}">
              <c16:uniqueId val="{00000000-2A57-45F9-A160-3D24AF38948B}"/>
            </c:ext>
          </c:extLst>
        </c:ser>
        <c:dLbls>
          <c:dLblPos val="outEnd"/>
          <c:showLegendKey val="0"/>
          <c:showVal val="1"/>
          <c:showCatName val="0"/>
          <c:showSerName val="0"/>
          <c:showPercent val="0"/>
          <c:showBubbleSize val="0"/>
        </c:dLbls>
        <c:gapWidth val="80"/>
        <c:overlap val="25"/>
        <c:axId val="618523439"/>
        <c:axId val="618522959"/>
      </c:barChart>
      <c:catAx>
        <c:axId val="618523439"/>
        <c:scaling>
          <c:orientation val="minMax"/>
        </c:scaling>
        <c:delete val="0"/>
        <c:axPos val="b"/>
        <c:title>
          <c:tx>
            <c:rich>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US"/>
                  <a:t>Date</a:t>
                </a:r>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en-US"/>
          </a:p>
        </c:txPr>
        <c:crossAx val="618522959"/>
        <c:crosses val="autoZero"/>
        <c:auto val="0"/>
        <c:lblAlgn val="ctr"/>
        <c:lblOffset val="100"/>
        <c:noMultiLvlLbl val="0"/>
      </c:catAx>
      <c:valAx>
        <c:axId val="618522959"/>
        <c:scaling>
          <c:orientation val="minMax"/>
        </c:scaling>
        <c:delete val="0"/>
        <c:axPos val="l"/>
        <c:majorGridlines>
          <c:spPr>
            <a:ln w="9525" cap="flat" cmpd="sng" algn="ctr">
              <a:solidFill>
                <a:schemeClr val="tx1">
                  <a:lumMod val="5000"/>
                  <a:lumOff val="9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US"/>
                  <a:t>Number of MOnths</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n-US"/>
          </a:p>
        </c:txPr>
        <c:crossAx val="618523439"/>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'LUNA CASH'!$B$15</c:f>
              <c:strCache>
                <c:ptCount val="1"/>
                <c:pt idx="0">
                  <c:v>Months of Unrestricted Cash</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numRef>
              <c:f>'LUNA CASH'!$A$16:$A$27</c:f>
              <c:numCache>
                <c:formatCode>m/d/yyyy</c:formatCode>
                <c:ptCount val="12"/>
                <c:pt idx="0">
                  <c:v>45138</c:v>
                </c:pt>
                <c:pt idx="1">
                  <c:v>45169</c:v>
                </c:pt>
                <c:pt idx="2">
                  <c:v>45199</c:v>
                </c:pt>
                <c:pt idx="3">
                  <c:v>45230</c:v>
                </c:pt>
                <c:pt idx="4">
                  <c:v>45260</c:v>
                </c:pt>
                <c:pt idx="5">
                  <c:v>45291</c:v>
                </c:pt>
                <c:pt idx="6">
                  <c:v>45322</c:v>
                </c:pt>
                <c:pt idx="7">
                  <c:v>45351</c:v>
                </c:pt>
                <c:pt idx="8">
                  <c:v>45382</c:v>
                </c:pt>
                <c:pt idx="9">
                  <c:v>45412</c:v>
                </c:pt>
                <c:pt idx="10">
                  <c:v>45443</c:v>
                </c:pt>
                <c:pt idx="11">
                  <c:v>45473</c:v>
                </c:pt>
              </c:numCache>
            </c:numRef>
          </c:cat>
          <c:val>
            <c:numRef>
              <c:f>'LUNA CASH'!$B$16:$B$27</c:f>
              <c:numCache>
                <c:formatCode>_(* #,##0.00_);_(* \(#,##0.00\);_(* "-"??_);_(@_)</c:formatCode>
                <c:ptCount val="12"/>
                <c:pt idx="0">
                  <c:v>4.7911651099148278</c:v>
                </c:pt>
                <c:pt idx="1">
                  <c:v>5.0659215176454948</c:v>
                </c:pt>
                <c:pt idx="2">
                  <c:v>4.6422225447417036</c:v>
                </c:pt>
                <c:pt idx="3">
                  <c:v>4.2646376474571417</c:v>
                </c:pt>
                <c:pt idx="4">
                  <c:v>4.148560246157337</c:v>
                </c:pt>
                <c:pt idx="5">
                  <c:v>4.5450908731189719</c:v>
                </c:pt>
                <c:pt idx="6">
                  <c:v>4.1024062214158583</c:v>
                </c:pt>
                <c:pt idx="7">
                  <c:v>4.5891870106867874</c:v>
                </c:pt>
                <c:pt idx="8">
                  <c:v>4.3283925783723562</c:v>
                </c:pt>
                <c:pt idx="9">
                  <c:v>3.8484533981437998</c:v>
                </c:pt>
                <c:pt idx="10">
                  <c:v>4.0633092675840885</c:v>
                </c:pt>
                <c:pt idx="11">
                  <c:v>3.9657250677770808</c:v>
                </c:pt>
              </c:numCache>
            </c:numRef>
          </c:val>
          <c:extLst>
            <c:ext xmlns:c16="http://schemas.microsoft.com/office/drawing/2014/chart" uri="{C3380CC4-5D6E-409C-BE32-E72D297353CC}">
              <c16:uniqueId val="{00000000-7D39-4CD0-A2DE-666AC382BA7D}"/>
            </c:ext>
          </c:extLst>
        </c:ser>
        <c:dLbls>
          <c:dLblPos val="outEnd"/>
          <c:showLegendKey val="0"/>
          <c:showVal val="1"/>
          <c:showCatName val="0"/>
          <c:showSerName val="0"/>
          <c:showPercent val="0"/>
          <c:showBubbleSize val="0"/>
        </c:dLbls>
        <c:gapWidth val="100"/>
        <c:overlap val="-24"/>
        <c:axId val="1662260128"/>
        <c:axId val="1662261568"/>
      </c:barChart>
      <c:catAx>
        <c:axId val="1662260128"/>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Date</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m/d/yyyy"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662261568"/>
        <c:crosses val="autoZero"/>
        <c:auto val="0"/>
        <c:lblAlgn val="ctr"/>
        <c:lblOffset val="100"/>
        <c:noMultiLvlLbl val="0"/>
      </c:catAx>
      <c:valAx>
        <c:axId val="1662261568"/>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Number</a:t>
                </a:r>
                <a:r>
                  <a:rPr lang="en-US" baseline="0"/>
                  <a:t> of Months</a:t>
                </a:r>
                <a:endParaRPr lang="en-US"/>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6622601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10.xml><?xml version="1.0" encoding="utf-8"?>
<cs:colorStyle xmlns:cs="http://schemas.microsoft.com/office/drawing/2012/chartStyle" xmlns:a="http://schemas.openxmlformats.org/drawingml/2006/main" meth="withinLinear" id="18">
  <a:schemeClr val="accent5"/>
</cs:colorStyle>
</file>

<file path=xl/charts/colors11.xml><?xml version="1.0" encoding="utf-8"?>
<cs:colorStyle xmlns:cs="http://schemas.microsoft.com/office/drawing/2012/chartStyle" xmlns:a="http://schemas.openxmlformats.org/drawingml/2006/main" meth="withinLinear" id="18">
  <a:schemeClr val="accent5"/>
</cs:colorStyle>
</file>

<file path=xl/charts/colors12.xml><?xml version="1.0" encoding="utf-8"?>
<cs:colorStyle xmlns:cs="http://schemas.microsoft.com/office/drawing/2012/chartStyle" xmlns:a="http://schemas.openxmlformats.org/drawingml/2006/main" meth="withinLinear" id="18">
  <a:schemeClr val="accent5"/>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withinLinear" id="18">
  <a:schemeClr val="accent5"/>
</cs:colorStyle>
</file>

<file path=xl/charts/colors16.xml><?xml version="1.0" encoding="utf-8"?>
<cs:colorStyle xmlns:cs="http://schemas.microsoft.com/office/drawing/2012/chartStyle" xmlns:a="http://schemas.openxmlformats.org/drawingml/2006/main" meth="withinLinear" id="18">
  <a:schemeClr val="accent5"/>
</cs:colorStyle>
</file>

<file path=xl/charts/colors17.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withinLinear" id="18">
  <a:schemeClr val="accent5"/>
</cs:colorStyle>
</file>

<file path=xl/charts/colors3.xml><?xml version="1.0" encoding="utf-8"?>
<cs:colorStyle xmlns:cs="http://schemas.microsoft.com/office/drawing/2012/chartStyle" xmlns:a="http://schemas.openxmlformats.org/drawingml/2006/main" meth="withinLinear" id="18">
  <a:schemeClr val="accent5"/>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withinLinear" id="18">
  <a:schemeClr val="accent5"/>
</cs:colorStyle>
</file>

<file path=xl/charts/colors7.xml><?xml version="1.0" encoding="utf-8"?>
<cs:colorStyle xmlns:cs="http://schemas.microsoft.com/office/drawing/2012/chartStyle" xmlns:a="http://schemas.openxmlformats.org/drawingml/2006/main" meth="withinLinear" id="18">
  <a:schemeClr val="accent5"/>
</cs:colorStyle>
</file>

<file path=xl/charts/colors8.xml><?xml version="1.0" encoding="utf-8"?>
<cs:colorStyle xmlns:cs="http://schemas.microsoft.com/office/drawing/2012/chartStyle" xmlns:a="http://schemas.openxmlformats.org/drawingml/2006/main" meth="withinLinear" id="18">
  <a:schemeClr val="accent5"/>
</cs:colorStyle>
</file>

<file path=xl/charts/colors9.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3.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7.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2.xml"/><Relationship Id="rId7" Type="http://schemas.openxmlformats.org/officeDocument/2006/relationships/chart" Target="../charts/chart15.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image" Target="../media/image1.png"/><Relationship Id="rId5" Type="http://schemas.openxmlformats.org/officeDocument/2006/relationships/chart" Target="../charts/chart14.xml"/><Relationship Id="rId4" Type="http://schemas.openxmlformats.org/officeDocument/2006/relationships/chart" Target="../charts/chart13.xml"/><Relationship Id="rId9"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523875</xdr:colOff>
      <xdr:row>20</xdr:row>
      <xdr:rowOff>14287</xdr:rowOff>
    </xdr:from>
    <xdr:to>
      <xdr:col>8</xdr:col>
      <xdr:colOff>0</xdr:colOff>
      <xdr:row>34</xdr:row>
      <xdr:rowOff>90487</xdr:rowOff>
    </xdr:to>
    <xdr:graphicFrame macro="">
      <xdr:nvGraphicFramePr>
        <xdr:cNvPr id="2" name="Chart 1">
          <a:extLst>
            <a:ext uri="{FF2B5EF4-FFF2-40B4-BE49-F238E27FC236}">
              <a16:creationId xmlns:a16="http://schemas.microsoft.com/office/drawing/2014/main" id="{5DCD6890-1CE5-CE40-783C-2A97FBBB5C3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114300</xdr:colOff>
      <xdr:row>0</xdr:row>
      <xdr:rowOff>9525</xdr:rowOff>
    </xdr:from>
    <xdr:to>
      <xdr:col>16</xdr:col>
      <xdr:colOff>133350</xdr:colOff>
      <xdr:row>8</xdr:row>
      <xdr:rowOff>161925</xdr:rowOff>
    </xdr:to>
    <mc:AlternateContent xmlns:mc="http://schemas.openxmlformats.org/markup-compatibility/2006" xmlns:a14="http://schemas.microsoft.com/office/drawing/2010/main">
      <mc:Choice Requires="a14">
        <xdr:graphicFrame macro="">
          <xdr:nvGraphicFramePr>
            <xdr:cNvPr id="2" name="Category 2">
              <a:extLst>
                <a:ext uri="{FF2B5EF4-FFF2-40B4-BE49-F238E27FC236}">
                  <a16:creationId xmlns:a16="http://schemas.microsoft.com/office/drawing/2014/main" id="{8DC76870-F893-4DC2-A784-DF168C5CA57E}"/>
                </a:ext>
              </a:extLst>
            </xdr:cNvPr>
            <xdr:cNvGraphicFramePr/>
          </xdr:nvGraphicFramePr>
          <xdr:xfrm>
            <a:off x="0" y="0"/>
            <a:ext cx="0" cy="0"/>
          </xdr:xfrm>
          <a:graphic>
            <a:graphicData uri="http://schemas.microsoft.com/office/drawing/2010/slicer">
              <sle:slicer xmlns:sle="http://schemas.microsoft.com/office/drawing/2010/slicer" name="Category 2"/>
            </a:graphicData>
          </a:graphic>
        </xdr:graphicFrame>
      </mc:Choice>
      <mc:Fallback xmlns="">
        <xdr:sp macro="" textlink="">
          <xdr:nvSpPr>
            <xdr:cNvPr id="0" name=""/>
            <xdr:cNvSpPr>
              <a:spLocks noTextEdit="1"/>
            </xdr:cNvSpPr>
          </xdr:nvSpPr>
          <xdr:spPr>
            <a:xfrm>
              <a:off x="13163550" y="9525"/>
              <a:ext cx="2457450" cy="16764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4</xdr:col>
      <xdr:colOff>666750</xdr:colOff>
      <xdr:row>15</xdr:row>
      <xdr:rowOff>157162</xdr:rowOff>
    </xdr:from>
    <xdr:to>
      <xdr:col>8</xdr:col>
      <xdr:colOff>790575</xdr:colOff>
      <xdr:row>30</xdr:row>
      <xdr:rowOff>42862</xdr:rowOff>
    </xdr:to>
    <xdr:graphicFrame macro="">
      <xdr:nvGraphicFramePr>
        <xdr:cNvPr id="3" name="Chart 2">
          <a:extLst>
            <a:ext uri="{FF2B5EF4-FFF2-40B4-BE49-F238E27FC236}">
              <a16:creationId xmlns:a16="http://schemas.microsoft.com/office/drawing/2014/main" id="{67DD22C7-3B79-E1AB-B8EA-94DBAA8B949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57149</xdr:colOff>
      <xdr:row>2</xdr:row>
      <xdr:rowOff>142875</xdr:rowOff>
    </xdr:from>
    <xdr:to>
      <xdr:col>8</xdr:col>
      <xdr:colOff>13607</xdr:colOff>
      <xdr:row>17</xdr:row>
      <xdr:rowOff>28575</xdr:rowOff>
    </xdr:to>
    <xdr:graphicFrame macro="">
      <xdr:nvGraphicFramePr>
        <xdr:cNvPr id="4" name="Chart 3">
          <a:extLst>
            <a:ext uri="{FF2B5EF4-FFF2-40B4-BE49-F238E27FC236}">
              <a16:creationId xmlns:a16="http://schemas.microsoft.com/office/drawing/2014/main" id="{9AF02F12-B58D-4654-B959-8FD650A2DA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17</xdr:row>
      <xdr:rowOff>142875</xdr:rowOff>
    </xdr:from>
    <xdr:to>
      <xdr:col>8</xdr:col>
      <xdr:colOff>40822</xdr:colOff>
      <xdr:row>32</xdr:row>
      <xdr:rowOff>28575</xdr:rowOff>
    </xdr:to>
    <xdr:graphicFrame macro="">
      <xdr:nvGraphicFramePr>
        <xdr:cNvPr id="2" name="Chart 1">
          <a:extLst>
            <a:ext uri="{FF2B5EF4-FFF2-40B4-BE49-F238E27FC236}">
              <a16:creationId xmlns:a16="http://schemas.microsoft.com/office/drawing/2014/main" id="{710E8D56-F06E-4D17-829B-84C424CCE8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56029</xdr:colOff>
      <xdr:row>32</xdr:row>
      <xdr:rowOff>156882</xdr:rowOff>
    </xdr:from>
    <xdr:to>
      <xdr:col>8</xdr:col>
      <xdr:colOff>95250</xdr:colOff>
      <xdr:row>47</xdr:row>
      <xdr:rowOff>42582</xdr:rowOff>
    </xdr:to>
    <xdr:graphicFrame macro="">
      <xdr:nvGraphicFramePr>
        <xdr:cNvPr id="3" name="Chart 2">
          <a:extLst>
            <a:ext uri="{FF2B5EF4-FFF2-40B4-BE49-F238E27FC236}">
              <a16:creationId xmlns:a16="http://schemas.microsoft.com/office/drawing/2014/main" id="{DFDE611D-2A10-4389-8999-E4AE2F64EA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217715</xdr:colOff>
      <xdr:row>2</xdr:row>
      <xdr:rowOff>149678</xdr:rowOff>
    </xdr:from>
    <xdr:to>
      <xdr:col>16</xdr:col>
      <xdr:colOff>473849</xdr:colOff>
      <xdr:row>17</xdr:row>
      <xdr:rowOff>35378</xdr:rowOff>
    </xdr:to>
    <xdr:graphicFrame macro="">
      <xdr:nvGraphicFramePr>
        <xdr:cNvPr id="5" name="Chart 4">
          <a:extLst>
            <a:ext uri="{FF2B5EF4-FFF2-40B4-BE49-F238E27FC236}">
              <a16:creationId xmlns:a16="http://schemas.microsoft.com/office/drawing/2014/main" id="{9400FAEB-8B65-424C-B474-FB284DD802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285752</xdr:colOff>
      <xdr:row>9</xdr:row>
      <xdr:rowOff>13608</xdr:rowOff>
    </xdr:from>
    <xdr:to>
      <xdr:col>12</xdr:col>
      <xdr:colOff>571500</xdr:colOff>
      <xdr:row>11</xdr:row>
      <xdr:rowOff>40822</xdr:rowOff>
    </xdr:to>
    <xdr:sp macro="" textlink="'Revenue PV'!B12">
      <xdr:nvSpPr>
        <xdr:cNvPr id="7" name="TextBox 6">
          <a:extLst>
            <a:ext uri="{FF2B5EF4-FFF2-40B4-BE49-F238E27FC236}">
              <a16:creationId xmlns:a16="http://schemas.microsoft.com/office/drawing/2014/main" id="{C9938007-F0ED-FAAB-B0F3-DBBD7ED41573}"/>
            </a:ext>
          </a:extLst>
        </xdr:cNvPr>
        <xdr:cNvSpPr txBox="1"/>
      </xdr:nvSpPr>
      <xdr:spPr>
        <a:xfrm>
          <a:off x="6613073" y="1741715"/>
          <a:ext cx="1238248" cy="408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fld id="{BCE5ABE8-85AE-435B-91E0-F16D237936CF}" type="TxLink">
            <a:rPr lang="en-US" sz="1800" b="1" i="0" u="none" strike="noStrike">
              <a:solidFill>
                <a:srgbClr val="633164"/>
              </a:solidFill>
              <a:latin typeface="Aptos Narrow"/>
              <a:ea typeface="+mn-ea"/>
              <a:cs typeface="+mn-cs"/>
            </a:rPr>
            <a:pPr marL="0" indent="0"/>
            <a:t>56.64M</a:t>
          </a:fld>
          <a:endParaRPr lang="en-US" sz="1800" b="1" i="0" u="none" strike="noStrike">
            <a:solidFill>
              <a:srgbClr val="633164"/>
            </a:solidFill>
            <a:latin typeface="Aptos Narrow"/>
            <a:ea typeface="+mn-ea"/>
            <a:cs typeface="+mn-cs"/>
          </a:endParaRPr>
        </a:p>
      </xdr:txBody>
    </xdr:sp>
    <xdr:clientData/>
  </xdr:twoCellAnchor>
  <xdr:twoCellAnchor>
    <xdr:from>
      <xdr:col>11</xdr:col>
      <xdr:colOff>456237</xdr:colOff>
      <xdr:row>10</xdr:row>
      <xdr:rowOff>106456</xdr:rowOff>
    </xdr:from>
    <xdr:to>
      <xdr:col>12</xdr:col>
      <xdr:colOff>687557</xdr:colOff>
      <xdr:row>12</xdr:row>
      <xdr:rowOff>160884</xdr:rowOff>
    </xdr:to>
    <xdr:sp macro="" textlink="'Revenue PV'!B11">
      <xdr:nvSpPr>
        <xdr:cNvPr id="9" name="TextBox 8">
          <a:extLst>
            <a:ext uri="{FF2B5EF4-FFF2-40B4-BE49-F238E27FC236}">
              <a16:creationId xmlns:a16="http://schemas.microsoft.com/office/drawing/2014/main" id="{78F7577B-D9B0-7E20-37FE-809C35746A5A}"/>
            </a:ext>
          </a:extLst>
        </xdr:cNvPr>
        <xdr:cNvSpPr txBox="1"/>
      </xdr:nvSpPr>
      <xdr:spPr>
        <a:xfrm>
          <a:off x="6709119" y="2336427"/>
          <a:ext cx="1183820" cy="435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fld id="{EDAC21F8-04F3-4688-B017-765239A02737}" type="TxLink">
            <a:rPr lang="en-US" sz="1800" b="1" i="0" u="none" strike="noStrike">
              <a:solidFill>
                <a:srgbClr val="633164"/>
              </a:solidFill>
              <a:latin typeface="Aptos Narrow"/>
              <a:ea typeface="+mn-ea"/>
              <a:cs typeface="+mn-cs"/>
            </a:rPr>
            <a:pPr marL="0" indent="0"/>
            <a:t>100%</a:t>
          </a:fld>
          <a:endParaRPr lang="en-US" sz="1800" b="1" i="0" u="none" strike="noStrike">
            <a:solidFill>
              <a:srgbClr val="633164"/>
            </a:solidFill>
            <a:latin typeface="Aptos Narrow"/>
            <a:ea typeface="+mn-ea"/>
            <a:cs typeface="+mn-cs"/>
          </a:endParaRPr>
        </a:p>
      </xdr:txBody>
    </xdr:sp>
    <xdr:clientData/>
  </xdr:twoCellAnchor>
  <xdr:twoCellAnchor>
    <xdr:from>
      <xdr:col>8</xdr:col>
      <xdr:colOff>189140</xdr:colOff>
      <xdr:row>17</xdr:row>
      <xdr:rowOff>163285</xdr:rowOff>
    </xdr:from>
    <xdr:to>
      <xdr:col>16</xdr:col>
      <xdr:colOff>462643</xdr:colOff>
      <xdr:row>32</xdr:row>
      <xdr:rowOff>48985</xdr:rowOff>
    </xdr:to>
    <xdr:graphicFrame macro="">
      <xdr:nvGraphicFramePr>
        <xdr:cNvPr id="10" name="Chart 9">
          <a:extLst>
            <a:ext uri="{FF2B5EF4-FFF2-40B4-BE49-F238E27FC236}">
              <a16:creationId xmlns:a16="http://schemas.microsoft.com/office/drawing/2014/main" id="{7E84F102-96AE-453B-B0FC-1E29984FD5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26</xdr:col>
      <xdr:colOff>85445</xdr:colOff>
      <xdr:row>13</xdr:row>
      <xdr:rowOff>14506</xdr:rowOff>
    </xdr:from>
    <xdr:to>
      <xdr:col>31</xdr:col>
      <xdr:colOff>537882</xdr:colOff>
      <xdr:row>19</xdr:row>
      <xdr:rowOff>161464</xdr:rowOff>
    </xdr:to>
    <mc:AlternateContent xmlns:mc="http://schemas.openxmlformats.org/markup-compatibility/2006" xmlns:a14="http://schemas.microsoft.com/office/drawing/2010/main">
      <mc:Choice Requires="a14">
        <xdr:graphicFrame macro="">
          <xdr:nvGraphicFramePr>
            <xdr:cNvPr id="11" name="Service Area 1">
              <a:extLst>
                <a:ext uri="{FF2B5EF4-FFF2-40B4-BE49-F238E27FC236}">
                  <a16:creationId xmlns:a16="http://schemas.microsoft.com/office/drawing/2014/main" id="{F2912888-DC6E-4C9A-A2A2-D23E1BEDB92E}"/>
                </a:ext>
              </a:extLst>
            </xdr:cNvPr>
            <xdr:cNvGraphicFramePr/>
          </xdr:nvGraphicFramePr>
          <xdr:xfrm>
            <a:off x="0" y="0"/>
            <a:ext cx="0" cy="0"/>
          </xdr:xfrm>
          <a:graphic>
            <a:graphicData uri="http://schemas.microsoft.com/office/drawing/2010/slicer">
              <sle:slicer xmlns:sle="http://schemas.microsoft.com/office/drawing/2010/slicer" name="Service Area 1"/>
            </a:graphicData>
          </a:graphic>
        </xdr:graphicFrame>
      </mc:Choice>
      <mc:Fallback xmlns="">
        <xdr:sp macro="" textlink="">
          <xdr:nvSpPr>
            <xdr:cNvPr id="0" name=""/>
            <xdr:cNvSpPr>
              <a:spLocks noTextEdit="1"/>
            </xdr:cNvSpPr>
          </xdr:nvSpPr>
          <xdr:spPr>
            <a:xfrm>
              <a:off x="17448159" y="2763149"/>
              <a:ext cx="3514044" cy="1371601"/>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xdr:from>
      <xdr:col>11</xdr:col>
      <xdr:colOff>421823</xdr:colOff>
      <xdr:row>25</xdr:row>
      <xdr:rowOff>136071</xdr:rowOff>
    </xdr:from>
    <xdr:to>
      <xdr:col>12</xdr:col>
      <xdr:colOff>517072</xdr:colOff>
      <xdr:row>27</xdr:row>
      <xdr:rowOff>81643</xdr:rowOff>
    </xdr:to>
    <xdr:sp macro="" textlink="'Expenses PV'!A11">
      <xdr:nvSpPr>
        <xdr:cNvPr id="12" name="TextBox 11">
          <a:extLst>
            <a:ext uri="{FF2B5EF4-FFF2-40B4-BE49-F238E27FC236}">
              <a16:creationId xmlns:a16="http://schemas.microsoft.com/office/drawing/2014/main" id="{7315CDC0-114E-86C5-819F-4E58DAE54210}"/>
            </a:ext>
          </a:extLst>
        </xdr:cNvPr>
        <xdr:cNvSpPr txBox="1"/>
      </xdr:nvSpPr>
      <xdr:spPr>
        <a:xfrm>
          <a:off x="6749144" y="4939392"/>
          <a:ext cx="1047749" cy="326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fld id="{2DCA19C8-DAA4-4D8C-B6D8-9BBCC69DE580}" type="TxLink">
            <a:rPr lang="en-US" sz="1800" b="1" i="0" u="none" strike="noStrike">
              <a:solidFill>
                <a:srgbClr val="633164"/>
              </a:solidFill>
              <a:latin typeface="Aptos Narrow"/>
              <a:ea typeface="+mn-ea"/>
              <a:cs typeface="+mn-cs"/>
            </a:rPr>
            <a:pPr marL="0" indent="0"/>
            <a:t>100%</a:t>
          </a:fld>
          <a:endParaRPr lang="en-US" sz="1800" b="1" i="0" u="none" strike="noStrike">
            <a:solidFill>
              <a:srgbClr val="633164"/>
            </a:solidFill>
            <a:latin typeface="Aptos Narrow"/>
            <a:ea typeface="+mn-ea"/>
            <a:cs typeface="+mn-cs"/>
          </a:endParaRPr>
        </a:p>
      </xdr:txBody>
    </xdr:sp>
    <xdr:clientData/>
  </xdr:twoCellAnchor>
  <xdr:twoCellAnchor>
    <xdr:from>
      <xdr:col>8</xdr:col>
      <xdr:colOff>163286</xdr:colOff>
      <xdr:row>32</xdr:row>
      <xdr:rowOff>163286</xdr:rowOff>
    </xdr:from>
    <xdr:to>
      <xdr:col>16</xdr:col>
      <xdr:colOff>408214</xdr:colOff>
      <xdr:row>47</xdr:row>
      <xdr:rowOff>40820</xdr:rowOff>
    </xdr:to>
    <xdr:sp macro="" textlink="">
      <xdr:nvSpPr>
        <xdr:cNvPr id="13" name="Rectangle: Rounded Corners 12">
          <a:extLst>
            <a:ext uri="{FF2B5EF4-FFF2-40B4-BE49-F238E27FC236}">
              <a16:creationId xmlns:a16="http://schemas.microsoft.com/office/drawing/2014/main" id="{02928435-3374-F9ED-EBFA-D290763B4B19}"/>
            </a:ext>
          </a:extLst>
        </xdr:cNvPr>
        <xdr:cNvSpPr/>
      </xdr:nvSpPr>
      <xdr:spPr>
        <a:xfrm>
          <a:off x="5061857" y="6613072"/>
          <a:ext cx="5891893" cy="3388177"/>
        </a:xfrm>
        <a:prstGeom prst="roundRect">
          <a:avLst/>
        </a:prstGeom>
        <a:noFill/>
        <a:ln w="12700" cap="rnd" cmpd="sng">
          <a:solidFill>
            <a:schemeClr val="bg1"/>
          </a:solidFill>
          <a:round/>
          <a:extLst>
            <a:ext uri="{C807C97D-BFC1-408E-A445-0C87EB9F89A2}">
              <ask:lineSketchStyleProps xmlns:ask="http://schemas.microsoft.com/office/drawing/2018/sketchyshapes" sd="1219033472">
                <a:custGeom>
                  <a:avLst/>
                  <a:gdLst>
                    <a:gd name="connsiteX0" fmla="*/ 0 w 5973536"/>
                    <a:gd name="connsiteY0" fmla="*/ 492135 h 2952749"/>
                    <a:gd name="connsiteX1" fmla="*/ 492135 w 5973536"/>
                    <a:gd name="connsiteY1" fmla="*/ 0 h 2952749"/>
                    <a:gd name="connsiteX2" fmla="*/ 5481401 w 5973536"/>
                    <a:gd name="connsiteY2" fmla="*/ 0 h 2952749"/>
                    <a:gd name="connsiteX3" fmla="*/ 5973536 w 5973536"/>
                    <a:gd name="connsiteY3" fmla="*/ 492135 h 2952749"/>
                    <a:gd name="connsiteX4" fmla="*/ 5973536 w 5973536"/>
                    <a:gd name="connsiteY4" fmla="*/ 2460614 h 2952749"/>
                    <a:gd name="connsiteX5" fmla="*/ 5481401 w 5973536"/>
                    <a:gd name="connsiteY5" fmla="*/ 2952749 h 2952749"/>
                    <a:gd name="connsiteX6" fmla="*/ 492135 w 5973536"/>
                    <a:gd name="connsiteY6" fmla="*/ 2952749 h 2952749"/>
                    <a:gd name="connsiteX7" fmla="*/ 0 w 5973536"/>
                    <a:gd name="connsiteY7" fmla="*/ 2460614 h 2952749"/>
                    <a:gd name="connsiteX8" fmla="*/ 0 w 5973536"/>
                    <a:gd name="connsiteY8" fmla="*/ 492135 h 295274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5973536" h="2952749" extrusionOk="0">
                      <a:moveTo>
                        <a:pt x="0" y="492135"/>
                      </a:moveTo>
                      <a:cubicBezTo>
                        <a:pt x="-4451" y="217591"/>
                        <a:pt x="209204" y="4178"/>
                        <a:pt x="492135" y="0"/>
                      </a:cubicBezTo>
                      <a:cubicBezTo>
                        <a:pt x="1599482" y="132882"/>
                        <a:pt x="4731349" y="-84951"/>
                        <a:pt x="5481401" y="0"/>
                      </a:cubicBezTo>
                      <a:cubicBezTo>
                        <a:pt x="5748237" y="4846"/>
                        <a:pt x="5966731" y="257947"/>
                        <a:pt x="5973536" y="492135"/>
                      </a:cubicBezTo>
                      <a:cubicBezTo>
                        <a:pt x="5993723" y="955274"/>
                        <a:pt x="6126016" y="1782861"/>
                        <a:pt x="5973536" y="2460614"/>
                      </a:cubicBezTo>
                      <a:cubicBezTo>
                        <a:pt x="5987275" y="2734043"/>
                        <a:pt x="5765041" y="2928380"/>
                        <a:pt x="5481401" y="2952749"/>
                      </a:cubicBezTo>
                      <a:cubicBezTo>
                        <a:pt x="3248684" y="3040388"/>
                        <a:pt x="2905551" y="2880070"/>
                        <a:pt x="492135" y="2952749"/>
                      </a:cubicBezTo>
                      <a:cubicBezTo>
                        <a:pt x="219182" y="2941742"/>
                        <a:pt x="-17079" y="2756148"/>
                        <a:pt x="0" y="2460614"/>
                      </a:cubicBezTo>
                      <a:cubicBezTo>
                        <a:pt x="-38581" y="1770820"/>
                        <a:pt x="63341" y="1078720"/>
                        <a:pt x="0" y="492135"/>
                      </a:cubicBezTo>
                      <a:close/>
                    </a:path>
                  </a:pathLst>
                </a:custGeom>
                <ask:type>
                  <ask:lineSketchNone/>
                </ask:type>
              </ask:lineSketchStyleProps>
            </a:ext>
          </a:extLs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26</xdr:col>
      <xdr:colOff>44223</xdr:colOff>
      <xdr:row>0</xdr:row>
      <xdr:rowOff>45924</xdr:rowOff>
    </xdr:from>
    <xdr:to>
      <xdr:col>31</xdr:col>
      <xdr:colOff>574902</xdr:colOff>
      <xdr:row>2</xdr:row>
      <xdr:rowOff>85343</xdr:rowOff>
    </xdr:to>
    <xdr:pic>
      <xdr:nvPicPr>
        <xdr:cNvPr id="14" name="Picture 13">
          <a:extLst>
            <a:ext uri="{FF2B5EF4-FFF2-40B4-BE49-F238E27FC236}">
              <a16:creationId xmlns:a16="http://schemas.microsoft.com/office/drawing/2014/main" id="{E8DA8DD8-85B7-4EE5-A931-4C78AB3C175D}"/>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406937" y="45924"/>
          <a:ext cx="3592286" cy="6925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13308</xdr:colOff>
      <xdr:row>33</xdr:row>
      <xdr:rowOff>11206</xdr:rowOff>
    </xdr:from>
    <xdr:to>
      <xdr:col>25</xdr:col>
      <xdr:colOff>441931</xdr:colOff>
      <xdr:row>47</xdr:row>
      <xdr:rowOff>11204</xdr:rowOff>
    </xdr:to>
    <xdr:graphicFrame macro="">
      <xdr:nvGraphicFramePr>
        <xdr:cNvPr id="16" name="Chart 15">
          <a:extLst>
            <a:ext uri="{FF2B5EF4-FFF2-40B4-BE49-F238E27FC236}">
              <a16:creationId xmlns:a16="http://schemas.microsoft.com/office/drawing/2014/main" id="{D0F5641D-9049-492A-8B57-C1612C94E3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26</xdr:col>
      <xdr:colOff>73537</xdr:colOff>
      <xdr:row>20</xdr:row>
      <xdr:rowOff>89647</xdr:rowOff>
    </xdr:from>
    <xdr:to>
      <xdr:col>31</xdr:col>
      <xdr:colOff>526675</xdr:colOff>
      <xdr:row>29</xdr:row>
      <xdr:rowOff>51547</xdr:rowOff>
    </xdr:to>
    <mc:AlternateContent xmlns:mc="http://schemas.openxmlformats.org/markup-compatibility/2006" xmlns:a14="http://schemas.microsoft.com/office/drawing/2010/main">
      <mc:Choice Requires="a14">
        <xdr:graphicFrame macro="">
          <xdr:nvGraphicFramePr>
            <xdr:cNvPr id="20" name="Category 1">
              <a:extLst>
                <a:ext uri="{FF2B5EF4-FFF2-40B4-BE49-F238E27FC236}">
                  <a16:creationId xmlns:a16="http://schemas.microsoft.com/office/drawing/2014/main" id="{46E40620-8A72-441B-BABA-E28F92E6573F}"/>
                </a:ext>
              </a:extLst>
            </xdr:cNvPr>
            <xdr:cNvGraphicFramePr/>
          </xdr:nvGraphicFramePr>
          <xdr:xfrm>
            <a:off x="0" y="0"/>
            <a:ext cx="0" cy="0"/>
          </xdr:xfrm>
          <a:graphic>
            <a:graphicData uri="http://schemas.microsoft.com/office/drawing/2010/slicer">
              <sle:slicer xmlns:sle="http://schemas.microsoft.com/office/drawing/2010/slicer" name="Category 1"/>
            </a:graphicData>
          </a:graphic>
        </xdr:graphicFrame>
      </mc:Choice>
      <mc:Fallback xmlns="">
        <xdr:sp macro="" textlink="">
          <xdr:nvSpPr>
            <xdr:cNvPr id="0" name=""/>
            <xdr:cNvSpPr>
              <a:spLocks noTextEdit="1"/>
            </xdr:cNvSpPr>
          </xdr:nvSpPr>
          <xdr:spPr>
            <a:xfrm>
              <a:off x="17436251" y="4253433"/>
              <a:ext cx="3514745" cy="16764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xdr:from>
      <xdr:col>17</xdr:col>
      <xdr:colOff>11907</xdr:colOff>
      <xdr:row>2</xdr:row>
      <xdr:rowOff>178595</xdr:rowOff>
    </xdr:from>
    <xdr:to>
      <xdr:col>25</xdr:col>
      <xdr:colOff>357187</xdr:colOff>
      <xdr:row>17</xdr:row>
      <xdr:rowOff>11907</xdr:rowOff>
    </xdr:to>
    <xdr:graphicFrame macro="">
      <xdr:nvGraphicFramePr>
        <xdr:cNvPr id="21" name="Chart 20">
          <a:extLst>
            <a:ext uri="{FF2B5EF4-FFF2-40B4-BE49-F238E27FC236}">
              <a16:creationId xmlns:a16="http://schemas.microsoft.com/office/drawing/2014/main" id="{A30CF8C6-1C64-47C9-8A81-E310FE36FC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23</xdr:col>
      <xdr:colOff>285750</xdr:colOff>
      <xdr:row>15</xdr:row>
      <xdr:rowOff>71438</xdr:rowOff>
    </xdr:from>
    <xdr:to>
      <xdr:col>25</xdr:col>
      <xdr:colOff>202404</xdr:colOff>
      <xdr:row>16</xdr:row>
      <xdr:rowOff>178595</xdr:rowOff>
    </xdr:to>
    <xdr:sp macro="" textlink="'Cash PV'!$B$17">
      <xdr:nvSpPr>
        <xdr:cNvPr id="22" name="TextBox 21">
          <a:extLst>
            <a:ext uri="{FF2B5EF4-FFF2-40B4-BE49-F238E27FC236}">
              <a16:creationId xmlns:a16="http://schemas.microsoft.com/office/drawing/2014/main" id="{93C50F46-FDE5-473F-BB40-50BBDF4584A5}"/>
            </a:ext>
          </a:extLst>
        </xdr:cNvPr>
        <xdr:cNvSpPr txBox="1"/>
      </xdr:nvSpPr>
      <xdr:spPr>
        <a:xfrm>
          <a:off x="15013781" y="3250407"/>
          <a:ext cx="1833561" cy="297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indent="0"/>
          <a:fld id="{6CFA442B-6668-488C-9C73-95A4588CA894}" type="TxLink">
            <a:rPr lang="en-US" sz="1600" b="1">
              <a:solidFill>
                <a:srgbClr val="633164"/>
              </a:solidFill>
              <a:latin typeface="+mn-lt"/>
              <a:ea typeface="+mn-ea"/>
              <a:cs typeface="+mn-cs"/>
            </a:rPr>
            <a:pPr marL="0" indent="0"/>
            <a:t> 19,383,590.00 </a:t>
          </a:fld>
          <a:endParaRPr lang="en-US" sz="1600" b="1">
            <a:solidFill>
              <a:srgbClr val="633164"/>
            </a:solidFill>
            <a:latin typeface="+mn-lt"/>
            <a:ea typeface="+mn-ea"/>
            <a:cs typeface="+mn-cs"/>
          </a:endParaRPr>
        </a:p>
      </xdr:txBody>
    </xdr:sp>
    <xdr:clientData/>
  </xdr:twoCellAnchor>
  <xdr:twoCellAnchor editAs="oneCell">
    <xdr:from>
      <xdr:col>26</xdr:col>
      <xdr:colOff>89647</xdr:colOff>
      <xdr:row>3</xdr:row>
      <xdr:rowOff>179293</xdr:rowOff>
    </xdr:from>
    <xdr:to>
      <xdr:col>31</xdr:col>
      <xdr:colOff>504265</xdr:colOff>
      <xdr:row>12</xdr:row>
      <xdr:rowOff>76919</xdr:rowOff>
    </xdr:to>
    <mc:AlternateContent xmlns:mc="http://schemas.openxmlformats.org/markup-compatibility/2006" xmlns:a14="http://schemas.microsoft.com/office/drawing/2010/main">
      <mc:Choice Requires="a14">
        <xdr:graphicFrame macro="">
          <xdr:nvGraphicFramePr>
            <xdr:cNvPr id="6" name="Total Revenue 1">
              <a:extLst>
                <a:ext uri="{FF2B5EF4-FFF2-40B4-BE49-F238E27FC236}">
                  <a16:creationId xmlns:a16="http://schemas.microsoft.com/office/drawing/2014/main" id="{47536C1C-26D4-4C7A-89CB-56DDEDBE3E37}"/>
                </a:ext>
              </a:extLst>
            </xdr:cNvPr>
            <xdr:cNvGraphicFramePr/>
          </xdr:nvGraphicFramePr>
          <xdr:xfrm>
            <a:off x="0" y="0"/>
            <a:ext cx="0" cy="0"/>
          </xdr:xfrm>
          <a:graphic>
            <a:graphicData uri="http://schemas.microsoft.com/office/drawing/2010/slicer">
              <sle:slicer xmlns:sle="http://schemas.microsoft.com/office/drawing/2010/slicer" name="Total Revenue 1"/>
            </a:graphicData>
          </a:graphic>
        </xdr:graphicFrame>
      </mc:Choice>
      <mc:Fallback xmlns="">
        <xdr:sp macro="" textlink="">
          <xdr:nvSpPr>
            <xdr:cNvPr id="0" name=""/>
            <xdr:cNvSpPr>
              <a:spLocks noTextEdit="1"/>
            </xdr:cNvSpPr>
          </xdr:nvSpPr>
          <xdr:spPr>
            <a:xfrm>
              <a:off x="17452361" y="1022936"/>
              <a:ext cx="3476225" cy="1612126"/>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xdr:from>
      <xdr:col>17</xdr:col>
      <xdr:colOff>44822</xdr:colOff>
      <xdr:row>18</xdr:row>
      <xdr:rowOff>0</xdr:rowOff>
    </xdr:from>
    <xdr:to>
      <xdr:col>25</xdr:col>
      <xdr:colOff>425821</xdr:colOff>
      <xdr:row>32</xdr:row>
      <xdr:rowOff>44824</xdr:rowOff>
    </xdr:to>
    <xdr:graphicFrame macro="">
      <xdr:nvGraphicFramePr>
        <xdr:cNvPr id="15" name="Chart 14">
          <a:extLst>
            <a:ext uri="{FF2B5EF4-FFF2-40B4-BE49-F238E27FC236}">
              <a16:creationId xmlns:a16="http://schemas.microsoft.com/office/drawing/2014/main" id="{5B3BF021-775C-433D-B488-D582632EC6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0.25661</cdr:x>
      <cdr:y>0.44147</cdr:y>
    </cdr:from>
    <cdr:to>
      <cdr:x>0.44974</cdr:x>
      <cdr:y>0.5506</cdr:y>
    </cdr:to>
    <cdr:sp macro="" textlink="'Expenses PV'!$A$10">
      <cdr:nvSpPr>
        <cdr:cNvPr id="2" name="TextBox 1">
          <a:extLst xmlns:a="http://schemas.openxmlformats.org/drawingml/2006/main">
            <a:ext uri="{FF2B5EF4-FFF2-40B4-BE49-F238E27FC236}">
              <a16:creationId xmlns:a16="http://schemas.microsoft.com/office/drawing/2014/main" id="{C91B1E2E-01EB-6E18-723D-82D25AA2049C}"/>
            </a:ext>
          </a:extLst>
        </cdr:cNvPr>
        <cdr:cNvSpPr txBox="1"/>
      </cdr:nvSpPr>
      <cdr:spPr>
        <a:xfrm xmlns:a="http://schemas.openxmlformats.org/drawingml/2006/main">
          <a:off x="1319891" y="1211037"/>
          <a:ext cx="993322" cy="29935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Overflow="clip" horzOverflow="clip" wrap="square" rtlCol="0" anchor="t"/>
        <a:lstStyle xmlns:a="http://schemas.openxmlformats.org/drawingml/2006/main"/>
        <a:p xmlns:a="http://schemas.openxmlformats.org/drawingml/2006/main">
          <a:pPr marL="0" indent="0"/>
          <a:fld id="{726266F0-96CD-4023-8E94-F9DAA4023A67}" type="TxLink">
            <a:rPr lang="en-US" sz="1800" b="1" i="0" u="none" strike="noStrike">
              <a:solidFill>
                <a:srgbClr val="633164"/>
              </a:solidFill>
              <a:latin typeface="Aptos Narrow"/>
              <a:ea typeface="+mn-ea"/>
              <a:cs typeface="+mn-cs"/>
            </a:rPr>
            <a:pPr marL="0" indent="0"/>
            <a:t>43.52M</a:t>
          </a:fld>
          <a:endParaRPr lang="en-US" sz="1800" b="1" i="0" u="none" strike="noStrike">
            <a:solidFill>
              <a:srgbClr val="633164"/>
            </a:solidFill>
            <a:latin typeface="Aptos Narrow"/>
            <a:ea typeface="+mn-ea"/>
            <a:cs typeface="+mn-cs"/>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0.10973</cdr:x>
      <cdr:y>0.88303</cdr:y>
    </cdr:from>
    <cdr:to>
      <cdr:x>0.76229</cdr:x>
      <cdr:y>0.98758</cdr:y>
    </cdr:to>
    <cdr:sp macro="" textlink="">
      <cdr:nvSpPr>
        <cdr:cNvPr id="2" name="TextBox 17">
          <a:extLst xmlns:a="http://schemas.openxmlformats.org/drawingml/2006/main">
            <a:ext uri="{FF2B5EF4-FFF2-40B4-BE49-F238E27FC236}">
              <a16:creationId xmlns:a16="http://schemas.microsoft.com/office/drawing/2014/main" id="{6DF3FA8A-2437-D2EC-40DF-7B93A3D2B13E}"/>
            </a:ext>
          </a:extLst>
        </cdr:cNvPr>
        <cdr:cNvSpPr txBox="1"/>
      </cdr:nvSpPr>
      <cdr:spPr>
        <a:xfrm xmlns:a="http://schemas.openxmlformats.org/drawingml/2006/main">
          <a:off x="586581" y="2312987"/>
          <a:ext cx="3488532" cy="27384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600" b="1">
              <a:solidFill>
                <a:srgbClr val="633164"/>
              </a:solidFill>
            </a:rPr>
            <a:t>Total Cash by Category as of 06/30/24</a:t>
          </a:r>
        </a:p>
      </cdr:txBody>
    </cdr:sp>
  </cdr:relSizeAnchor>
</c:userShapes>
</file>

<file path=xl/drawings/drawing2.xml><?xml version="1.0" encoding="utf-8"?>
<xdr:wsDr xmlns:xdr="http://schemas.openxmlformats.org/drawingml/2006/spreadsheetDrawing" xmlns:a="http://schemas.openxmlformats.org/drawingml/2006/main">
  <xdr:twoCellAnchor>
    <xdr:from>
      <xdr:col>3</xdr:col>
      <xdr:colOff>790013</xdr:colOff>
      <xdr:row>18</xdr:row>
      <xdr:rowOff>79561</xdr:rowOff>
    </xdr:from>
    <xdr:to>
      <xdr:col>8</xdr:col>
      <xdr:colOff>661146</xdr:colOff>
      <xdr:row>32</xdr:row>
      <xdr:rowOff>155761</xdr:rowOff>
    </xdr:to>
    <xdr:graphicFrame macro="">
      <xdr:nvGraphicFramePr>
        <xdr:cNvPr id="3" name="Chart 2">
          <a:extLst>
            <a:ext uri="{FF2B5EF4-FFF2-40B4-BE49-F238E27FC236}">
              <a16:creationId xmlns:a16="http://schemas.microsoft.com/office/drawing/2014/main" id="{05793B9C-D6FC-1490-BE75-EC35FC358D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151278</xdr:colOff>
      <xdr:row>20</xdr:row>
      <xdr:rowOff>23532</xdr:rowOff>
    </xdr:from>
    <xdr:to>
      <xdr:col>6</xdr:col>
      <xdr:colOff>212912</xdr:colOff>
      <xdr:row>34</xdr:row>
      <xdr:rowOff>99732</xdr:rowOff>
    </xdr:to>
    <xdr:graphicFrame macro="">
      <xdr:nvGraphicFramePr>
        <xdr:cNvPr id="3" name="Chart 2">
          <a:extLst>
            <a:ext uri="{FF2B5EF4-FFF2-40B4-BE49-F238E27FC236}">
              <a16:creationId xmlns:a16="http://schemas.microsoft.com/office/drawing/2014/main" id="{98B02A37-8F41-368D-1B9C-CDFF7B5E9D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829235</xdr:colOff>
      <xdr:row>28</xdr:row>
      <xdr:rowOff>169208</xdr:rowOff>
    </xdr:from>
    <xdr:to>
      <xdr:col>7</xdr:col>
      <xdr:colOff>582706</xdr:colOff>
      <xdr:row>43</xdr:row>
      <xdr:rowOff>54908</xdr:rowOff>
    </xdr:to>
    <xdr:graphicFrame macro="">
      <xdr:nvGraphicFramePr>
        <xdr:cNvPr id="5" name="Chart 4">
          <a:extLst>
            <a:ext uri="{FF2B5EF4-FFF2-40B4-BE49-F238E27FC236}">
              <a16:creationId xmlns:a16="http://schemas.microsoft.com/office/drawing/2014/main" id="{752524B0-B548-C6C9-4DAF-1D712BA600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371474</xdr:colOff>
      <xdr:row>6</xdr:row>
      <xdr:rowOff>9525</xdr:rowOff>
    </xdr:from>
    <xdr:to>
      <xdr:col>12</xdr:col>
      <xdr:colOff>209549</xdr:colOff>
      <xdr:row>14</xdr:row>
      <xdr:rowOff>95250</xdr:rowOff>
    </xdr:to>
    <mc:AlternateContent xmlns:mc="http://schemas.openxmlformats.org/markup-compatibility/2006" xmlns:a14="http://schemas.microsoft.com/office/drawing/2010/main">
      <mc:Choice Requires="a14">
        <xdr:graphicFrame macro="">
          <xdr:nvGraphicFramePr>
            <xdr:cNvPr id="2" name="Total Revenue">
              <a:extLst>
                <a:ext uri="{FF2B5EF4-FFF2-40B4-BE49-F238E27FC236}">
                  <a16:creationId xmlns:a16="http://schemas.microsoft.com/office/drawing/2014/main" id="{E588A6A5-EC82-DF67-CFAF-D39C92EFE9CD}"/>
                </a:ext>
              </a:extLst>
            </xdr:cNvPr>
            <xdr:cNvGraphicFramePr/>
          </xdr:nvGraphicFramePr>
          <xdr:xfrm>
            <a:off x="0" y="0"/>
            <a:ext cx="0" cy="0"/>
          </xdr:xfrm>
          <a:graphic>
            <a:graphicData uri="http://schemas.microsoft.com/office/drawing/2010/slicer">
              <sle:slicer xmlns:sle="http://schemas.microsoft.com/office/drawing/2010/slicer" name="Total Revenue"/>
            </a:graphicData>
          </a:graphic>
        </xdr:graphicFrame>
      </mc:Choice>
      <mc:Fallback xmlns="">
        <xdr:sp macro="" textlink="">
          <xdr:nvSpPr>
            <xdr:cNvPr id="0" name=""/>
            <xdr:cNvSpPr>
              <a:spLocks noTextEdit="1"/>
            </xdr:cNvSpPr>
          </xdr:nvSpPr>
          <xdr:spPr>
            <a:xfrm>
              <a:off x="7315199" y="1152525"/>
              <a:ext cx="2886075" cy="16097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6.xml><?xml version="1.0" encoding="utf-8"?>
<xdr:wsDr xmlns:xdr="http://schemas.openxmlformats.org/drawingml/2006/spreadsheetDrawing" xmlns:a="http://schemas.openxmlformats.org/drawingml/2006/main">
  <xdr:twoCellAnchor>
    <xdr:from>
      <xdr:col>4</xdr:col>
      <xdr:colOff>228600</xdr:colOff>
      <xdr:row>11</xdr:row>
      <xdr:rowOff>14287</xdr:rowOff>
    </xdr:from>
    <xdr:to>
      <xdr:col>11</xdr:col>
      <xdr:colOff>533400</xdr:colOff>
      <xdr:row>25</xdr:row>
      <xdr:rowOff>90487</xdr:rowOff>
    </xdr:to>
    <xdr:graphicFrame macro="">
      <xdr:nvGraphicFramePr>
        <xdr:cNvPr id="3" name="Chart 2">
          <a:extLst>
            <a:ext uri="{FF2B5EF4-FFF2-40B4-BE49-F238E27FC236}">
              <a16:creationId xmlns:a16="http://schemas.microsoft.com/office/drawing/2014/main" id="{29D22113-89E5-DDE6-EB88-C8FB6A0231E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390524</xdr:colOff>
      <xdr:row>4</xdr:row>
      <xdr:rowOff>152400</xdr:rowOff>
    </xdr:from>
    <xdr:to>
      <xdr:col>14</xdr:col>
      <xdr:colOff>542925</xdr:colOff>
      <xdr:row>12</xdr:row>
      <xdr:rowOff>0</xdr:rowOff>
    </xdr:to>
    <mc:AlternateContent xmlns:mc="http://schemas.openxmlformats.org/markup-compatibility/2006" xmlns:a14="http://schemas.microsoft.com/office/drawing/2010/main">
      <mc:Choice Requires="a14">
        <xdr:graphicFrame macro="">
          <xdr:nvGraphicFramePr>
            <xdr:cNvPr id="2" name="Service Area">
              <a:extLst>
                <a:ext uri="{FF2B5EF4-FFF2-40B4-BE49-F238E27FC236}">
                  <a16:creationId xmlns:a16="http://schemas.microsoft.com/office/drawing/2014/main" id="{B34CEF62-12E7-38FB-3785-4A25753EE4BB}"/>
                </a:ext>
              </a:extLst>
            </xdr:cNvPr>
            <xdr:cNvGraphicFramePr/>
          </xdr:nvGraphicFramePr>
          <xdr:xfrm>
            <a:off x="0" y="0"/>
            <a:ext cx="0" cy="0"/>
          </xdr:xfrm>
          <a:graphic>
            <a:graphicData uri="http://schemas.microsoft.com/office/drawing/2010/slicer">
              <sle:slicer xmlns:sle="http://schemas.microsoft.com/office/drawing/2010/slicer" name="Service Area"/>
            </a:graphicData>
          </a:graphic>
        </xdr:graphicFrame>
      </mc:Choice>
      <mc:Fallback xmlns="">
        <xdr:sp macro="" textlink="">
          <xdr:nvSpPr>
            <xdr:cNvPr id="0" name=""/>
            <xdr:cNvSpPr>
              <a:spLocks noTextEdit="1"/>
            </xdr:cNvSpPr>
          </xdr:nvSpPr>
          <xdr:spPr>
            <a:xfrm>
              <a:off x="6076949" y="914400"/>
              <a:ext cx="3200401" cy="13716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8.xml><?xml version="1.0" encoding="utf-8"?>
<xdr:wsDr xmlns:xdr="http://schemas.openxmlformats.org/drawingml/2006/spreadsheetDrawing" xmlns:a="http://schemas.openxmlformats.org/drawingml/2006/main">
  <xdr:twoCellAnchor editAs="oneCell">
    <xdr:from>
      <xdr:col>15</xdr:col>
      <xdr:colOff>47625</xdr:colOff>
      <xdr:row>1</xdr:row>
      <xdr:rowOff>66675</xdr:rowOff>
    </xdr:from>
    <xdr:to>
      <xdr:col>19</xdr:col>
      <xdr:colOff>66675</xdr:colOff>
      <xdr:row>10</xdr:row>
      <xdr:rowOff>28575</xdr:rowOff>
    </xdr:to>
    <mc:AlternateContent xmlns:mc="http://schemas.openxmlformats.org/markup-compatibility/2006" xmlns:a14="http://schemas.microsoft.com/office/drawing/2010/main">
      <mc:Choice Requires="a14">
        <xdr:graphicFrame macro="">
          <xdr:nvGraphicFramePr>
            <xdr:cNvPr id="2" name="Category">
              <a:extLst>
                <a:ext uri="{FF2B5EF4-FFF2-40B4-BE49-F238E27FC236}">
                  <a16:creationId xmlns:a16="http://schemas.microsoft.com/office/drawing/2014/main" id="{A55BE2CE-65A2-A7D7-8D1F-863AC97E0EFD}"/>
                </a:ext>
              </a:extLst>
            </xdr:cNvPr>
            <xdr:cNvGraphicFramePr/>
          </xdr:nvGraphicFramePr>
          <xdr:xfrm>
            <a:off x="0" y="0"/>
            <a:ext cx="0" cy="0"/>
          </xdr:xfrm>
          <a:graphic>
            <a:graphicData uri="http://schemas.microsoft.com/office/drawing/2010/slicer">
              <sle:slicer xmlns:sle="http://schemas.microsoft.com/office/drawing/2010/slicer" name="Category"/>
            </a:graphicData>
          </a:graphic>
        </xdr:graphicFrame>
      </mc:Choice>
      <mc:Fallback xmlns="">
        <xdr:sp macro="" textlink="">
          <xdr:nvSpPr>
            <xdr:cNvPr id="0" name=""/>
            <xdr:cNvSpPr>
              <a:spLocks noTextEdit="1"/>
            </xdr:cNvSpPr>
          </xdr:nvSpPr>
          <xdr:spPr>
            <a:xfrm>
              <a:off x="10210800" y="257175"/>
              <a:ext cx="2457450" cy="16764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15</xdr:col>
      <xdr:colOff>47625</xdr:colOff>
      <xdr:row>11</xdr:row>
      <xdr:rowOff>4762</xdr:rowOff>
    </xdr:from>
    <xdr:to>
      <xdr:col>23</xdr:col>
      <xdr:colOff>561975</xdr:colOff>
      <xdr:row>25</xdr:row>
      <xdr:rowOff>80962</xdr:rowOff>
    </xdr:to>
    <xdr:graphicFrame macro="">
      <xdr:nvGraphicFramePr>
        <xdr:cNvPr id="3" name="Chart 2">
          <a:extLst>
            <a:ext uri="{FF2B5EF4-FFF2-40B4-BE49-F238E27FC236}">
              <a16:creationId xmlns:a16="http://schemas.microsoft.com/office/drawing/2014/main" id="{AA6CFDC2-98F5-7642-7505-DC972D3E80D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xdr:col>
      <xdr:colOff>895350</xdr:colOff>
      <xdr:row>27</xdr:row>
      <xdr:rowOff>100012</xdr:rowOff>
    </xdr:from>
    <xdr:to>
      <xdr:col>8</xdr:col>
      <xdr:colOff>371475</xdr:colOff>
      <xdr:row>41</xdr:row>
      <xdr:rowOff>176212</xdr:rowOff>
    </xdr:to>
    <xdr:graphicFrame macro="">
      <xdr:nvGraphicFramePr>
        <xdr:cNvPr id="2" name="Chart 1">
          <a:extLst>
            <a:ext uri="{FF2B5EF4-FFF2-40B4-BE49-F238E27FC236}">
              <a16:creationId xmlns:a16="http://schemas.microsoft.com/office/drawing/2014/main" id="{9BCA50F9-3320-0816-2654-555ECD1A7AE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933450</xdr:colOff>
      <xdr:row>50</xdr:row>
      <xdr:rowOff>90487</xdr:rowOff>
    </xdr:from>
    <xdr:to>
      <xdr:col>8</xdr:col>
      <xdr:colOff>409575</xdr:colOff>
      <xdr:row>64</xdr:row>
      <xdr:rowOff>166687</xdr:rowOff>
    </xdr:to>
    <xdr:graphicFrame macro="">
      <xdr:nvGraphicFramePr>
        <xdr:cNvPr id="4" name="Chart 3">
          <a:extLst>
            <a:ext uri="{FF2B5EF4-FFF2-40B4-BE49-F238E27FC236}">
              <a16:creationId xmlns:a16="http://schemas.microsoft.com/office/drawing/2014/main" id="{70E25C16-3C64-C63B-B48C-7660F0F1CE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erman Lasso" refreshedDate="45583.513028472225" createdVersion="8" refreshedVersion="8" minRefreshableVersion="3" recordCount="4" xr:uid="{C90B4A38-E0F7-41A4-9064-637B86BB626C}">
  <cacheSource type="worksheet">
    <worksheetSource ref="A23:M27" sheet="Cash Analysis"/>
  </cacheSource>
  <cacheFields count="13">
    <cacheField name="Category" numFmtId="0">
      <sharedItems count="4">
        <s v="   Cash - Unrestricted"/>
        <s v="   Cash  - Restricted"/>
        <s v="   ADOM Receivable Unrestricted"/>
        <s v="   ADOM Receivable Restricted"/>
      </sharedItems>
    </cacheField>
    <cacheField name="7/31/2023" numFmtId="44">
      <sharedItems containsSemiMixedTypes="0" containsString="0" containsNumber="1" containsInteger="1" minValue="0" maxValue="9389045" count="4">
        <n v="9389045"/>
        <n v="326150"/>
        <n v="3018573"/>
        <n v="0"/>
      </sharedItems>
    </cacheField>
    <cacheField name="8/31/2023" numFmtId="44">
      <sharedItems containsSemiMixedTypes="0" containsString="0" containsNumber="1" containsInteger="1" minValue="0" maxValue="11652665" count="4">
        <n v="11652665"/>
        <n v="320874"/>
        <n v="3018573"/>
        <n v="0"/>
      </sharedItems>
    </cacheField>
    <cacheField name="9/30/2023" numFmtId="44">
      <sharedItems containsSemiMixedTypes="0" containsString="0" containsNumber="1" containsInteger="1" minValue="0" maxValue="9901827"/>
    </cacheField>
    <cacheField name="10/31/2023" numFmtId="44">
      <sharedItems containsSemiMixedTypes="0" containsString="0" containsNumber="1" containsInteger="1" minValue="0" maxValue="9163671"/>
    </cacheField>
    <cacheField name="11/30/2023" numFmtId="44">
      <sharedItems containsSemiMixedTypes="0" containsString="0" containsNumber="1" containsInteger="1" minValue="0" maxValue="9133707"/>
    </cacheField>
    <cacheField name="12/31/2023" numFmtId="44">
      <sharedItems containsSemiMixedTypes="0" containsString="0" containsNumber="1" containsInteger="1" minValue="0" maxValue="10630931"/>
    </cacheField>
    <cacheField name="1/31/2024" numFmtId="44">
      <sharedItems containsSemiMixedTypes="0" containsString="0" containsNumber="1" minValue="249065" maxValue="9283740"/>
    </cacheField>
    <cacheField name="2/29/2024" numFmtId="44">
      <sharedItems containsSemiMixedTypes="0" containsString="0" containsNumber="1" minValue="236345" maxValue="11054535"/>
    </cacheField>
    <cacheField name="3/31/2024" numFmtId="44">
      <sharedItems containsSemiMixedTypes="0" containsString="0" containsNumber="1" minValue="224984" maxValue="10207293"/>
    </cacheField>
    <cacheField name="4/30/2024" numFmtId="44">
      <sharedItems containsSemiMixedTypes="0" containsString="0" containsNumber="1" minValue="207127" maxValue="7623219"/>
    </cacheField>
    <cacheField name="5/31/2024" numFmtId="44">
      <sharedItems containsSemiMixedTypes="0" containsString="0" containsNumber="1" minValue="195160" maxValue="8381555"/>
    </cacheField>
    <cacheField name="6/30/2024" numFmtId="44">
      <sharedItems containsSemiMixedTypes="0" containsString="0" containsNumber="1" minValue="186789.48" maxValue="8375495.5199999996"/>
    </cacheField>
  </cacheFields>
  <extLst>
    <ext xmlns:x14="http://schemas.microsoft.com/office/spreadsheetml/2009/9/main" uri="{725AE2AE-9491-48be-B2B4-4EB974FC3084}">
      <x14:pivotCacheDefinition pivotCacheId="1213294360"/>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erman Lasso" refreshedDate="45604.431166435184" createdVersion="8" refreshedVersion="8" minRefreshableVersion="3" recordCount="4" xr:uid="{35064EE0-4CB3-48B7-9B5F-5EBC57C110AE}">
  <cacheSource type="worksheet">
    <worksheetSource ref="A28:B32" sheet="Revenue Data"/>
  </cacheSource>
  <cacheFields count="2">
    <cacheField name="Total Revenue" numFmtId="0">
      <sharedItems count="4">
        <s v="Contributions, foundations, trusts and bequests"/>
        <s v="Other Revenue and Support"/>
        <s v="Grants"/>
        <s v="Contributed facilities, goods and services"/>
      </sharedItems>
    </cacheField>
    <cacheField name="Total" numFmtId="43">
      <sharedItems containsSemiMixedTypes="0" containsString="0" containsNumber="1" containsInteger="1" minValue="832670" maxValue="33700325"/>
    </cacheField>
  </cacheFields>
  <extLst>
    <ext xmlns:x14="http://schemas.microsoft.com/office/spreadsheetml/2009/9/main" uri="{725AE2AE-9491-48be-B2B4-4EB974FC3084}">
      <x14:pivotCacheDefinition pivotCacheId="1861740642"/>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erman Lasso" refreshedDate="45604.433407060184" createdVersion="8" refreshedVersion="8" minRefreshableVersion="3" recordCount="3" xr:uid="{D3CA81AE-1E1B-4620-8078-2EE8824A4044}">
  <cacheSource type="worksheet">
    <worksheetSource ref="A9:B12" sheet="Expenses Data"/>
  </cacheSource>
  <cacheFields count="2">
    <cacheField name="Service Area" numFmtId="0">
      <sharedItems count="3">
        <s v="Community Based Services"/>
        <s v="Child Development Services"/>
        <s v="General Admin, Fund Raising &amp; Ministries"/>
      </sharedItems>
    </cacheField>
    <cacheField name="Total" numFmtId="43">
      <sharedItems containsSemiMixedTypes="0" containsString="0" containsNumber="1" containsInteger="1" minValue="4638438" maxValue="20353031" count="4">
        <n v="20353031"/>
        <n v="18533193"/>
        <n v="4638445"/>
        <n v="4638438" u="1"/>
      </sharedItems>
    </cacheField>
  </cacheFields>
  <extLst>
    <ext xmlns:x14="http://schemas.microsoft.com/office/spreadsheetml/2009/9/main" uri="{725AE2AE-9491-48be-B2B4-4EB974FC3084}">
      <x14:pivotCacheDefinition pivotCacheId="376784854"/>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
  <r>
    <x v="0"/>
    <x v="0"/>
    <x v="0"/>
    <n v="9901827"/>
    <n v="9163671"/>
    <n v="9133707"/>
    <n v="10630931"/>
    <n v="9283740"/>
    <n v="11054535"/>
    <n v="10207293"/>
    <n v="7623219"/>
    <n v="8381555"/>
    <n v="8375495.5199999996"/>
  </r>
  <r>
    <x v="1"/>
    <x v="1"/>
    <x v="1"/>
    <n v="217783"/>
    <n v="212137"/>
    <n v="209661"/>
    <n v="5209942"/>
    <n v="249065"/>
    <n v="236345"/>
    <n v="224984"/>
    <n v="207127"/>
    <n v="195160"/>
    <n v="186789.48"/>
  </r>
  <r>
    <x v="2"/>
    <x v="2"/>
    <x v="2"/>
    <n v="4673045"/>
    <n v="4673045"/>
    <n v="4673045"/>
    <n v="4699659"/>
    <n v="4721027.4000000004"/>
    <n v="4741105.37"/>
    <n v="4815428.41"/>
    <n v="5859552.3100000005"/>
    <n v="5920948.6100000003"/>
    <n v="6008410.3900000006"/>
  </r>
  <r>
    <x v="3"/>
    <x v="3"/>
    <x v="3"/>
    <n v="0"/>
    <n v="0"/>
    <n v="0"/>
    <n v="0"/>
    <n v="4978631.5999999996"/>
    <n v="4958553.63"/>
    <n v="4940916.59"/>
    <n v="4896792.6899999995"/>
    <n v="4835396.3899999997"/>
    <n v="4812894.6099999994"/>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
  <r>
    <x v="0"/>
    <n v="8820664"/>
  </r>
  <r>
    <x v="1"/>
    <n v="832670"/>
  </r>
  <r>
    <x v="2"/>
    <n v="33700325"/>
  </r>
  <r>
    <x v="3"/>
    <n v="1328175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
  <r>
    <x v="0"/>
    <x v="0"/>
  </r>
  <r>
    <x v="1"/>
    <x v="1"/>
  </r>
  <r>
    <x v="2"/>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92F7939-9CF3-40F8-9E08-51FC7F6C04F1}" name="PivotTable1" cacheId="1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8" firstHeaderRow="1" firstDataRow="1" firstDataCol="1"/>
  <pivotFields count="2">
    <pivotField axis="axisRow" showAll="0">
      <items count="5">
        <item x="3"/>
        <item x="0"/>
        <item x="2"/>
        <item x="1"/>
        <item t="default"/>
      </items>
    </pivotField>
    <pivotField dataField="1" numFmtId="43" showAll="0"/>
  </pivotFields>
  <rowFields count="1">
    <field x="0"/>
  </rowFields>
  <rowItems count="5">
    <i>
      <x/>
    </i>
    <i>
      <x v="1"/>
    </i>
    <i>
      <x v="2"/>
    </i>
    <i>
      <x v="3"/>
    </i>
    <i t="grand">
      <x/>
    </i>
  </rowItems>
  <colItems count="1">
    <i/>
  </colItems>
  <dataFields count="1">
    <dataField name="Sum of Total" fld="1" baseField="0" baseItem="0" numFmtId="43"/>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E220511-40CD-482A-B66B-FE4658293512}" name="PivotTable8" cacheId="18"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A7" firstHeaderRow="1" firstDataRow="1" firstDataCol="1" rowPageCount="1" colPageCount="1"/>
  <pivotFields count="2">
    <pivotField axis="axisPage" showAll="0">
      <items count="4">
        <item x="1"/>
        <item x="0"/>
        <item x="2"/>
        <item t="default"/>
      </items>
    </pivotField>
    <pivotField axis="axisRow" numFmtId="43" showAll="0">
      <items count="5">
        <item m="1" x="3"/>
        <item x="1"/>
        <item x="0"/>
        <item x="2"/>
        <item t="default"/>
      </items>
    </pivotField>
  </pivotFields>
  <rowFields count="1">
    <field x="1"/>
  </rowFields>
  <rowItems count="4">
    <i>
      <x v="1"/>
    </i>
    <i>
      <x v="2"/>
    </i>
    <i>
      <x v="3"/>
    </i>
    <i t="grand">
      <x/>
    </i>
  </rowItems>
  <colItems count="1">
    <i/>
  </colItems>
  <pageFields count="1">
    <pageField fld="0" hier="-1"/>
  </page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D53CD4D3-5A1D-4346-B0D5-E750C6D3FD41}" name="PivotTable4" cacheId="16" dataOnRows="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1">
  <location ref="A3:B15" firstHeaderRow="1" firstDataRow="1" firstDataCol="1" rowPageCount="1" colPageCount="1"/>
  <pivotFields count="13">
    <pivotField axis="axisPage" multipleItemSelectionAllowed="1" showAll="0">
      <items count="5">
        <item x="3"/>
        <item x="2"/>
        <item x="1"/>
        <item x="0"/>
        <item t="default"/>
      </items>
    </pivotField>
    <pivotField dataField="1" numFmtId="44" showAll="0">
      <items count="5">
        <item x="3"/>
        <item x="1"/>
        <item x="2"/>
        <item x="0"/>
        <item t="default"/>
      </items>
    </pivotField>
    <pivotField dataField="1" numFmtId="44" showAll="0">
      <items count="5">
        <item x="3"/>
        <item x="1"/>
        <item x="2"/>
        <item x="0"/>
        <item t="default"/>
      </items>
    </pivotField>
    <pivotField dataField="1" numFmtId="44" showAll="0"/>
    <pivotField dataField="1" numFmtId="44" showAll="0"/>
    <pivotField dataField="1" numFmtId="44" showAll="0"/>
    <pivotField dataField="1" numFmtId="44" showAll="0"/>
    <pivotField dataField="1" numFmtId="44" showAll="0"/>
    <pivotField dataField="1" numFmtId="44" showAll="0"/>
    <pivotField dataField="1" numFmtId="44" showAll="0"/>
    <pivotField dataField="1" numFmtId="44" showAll="0"/>
    <pivotField dataField="1" numFmtId="44" showAll="0"/>
    <pivotField dataField="1" numFmtId="44" showAll="0"/>
  </pivotFields>
  <rowFields count="1">
    <field x="-2"/>
  </rowFields>
  <rowItems count="12">
    <i>
      <x/>
    </i>
    <i i="1">
      <x v="1"/>
    </i>
    <i i="2">
      <x v="2"/>
    </i>
    <i i="3">
      <x v="3"/>
    </i>
    <i i="4">
      <x v="4"/>
    </i>
    <i i="5">
      <x v="5"/>
    </i>
    <i i="6">
      <x v="6"/>
    </i>
    <i i="7">
      <x v="7"/>
    </i>
    <i i="8">
      <x v="8"/>
    </i>
    <i i="9">
      <x v="9"/>
    </i>
    <i i="10">
      <x v="10"/>
    </i>
    <i i="11">
      <x v="11"/>
    </i>
  </rowItems>
  <colItems count="1">
    <i/>
  </colItems>
  <pageFields count="1">
    <pageField fld="0" hier="-1"/>
  </pageFields>
  <dataFields count="12">
    <dataField name="7/31/23" fld="1" baseField="0" baseItem="0"/>
    <dataField name="8/31/23" fld="2" baseField="0" baseItem="0"/>
    <dataField name="9/30/23" fld="3" baseField="0" baseItem="0"/>
    <dataField name="10/31/23" fld="4" baseField="0" baseItem="0"/>
    <dataField name="11/30/23" fld="5" baseField="0" baseItem="0"/>
    <dataField name="12/31/23" fld="6" baseField="0" baseItem="0"/>
    <dataField name="1/31/24" fld="7" baseField="0" baseItem="0"/>
    <dataField name="2/29/24" fld="8" baseField="0" baseItem="0"/>
    <dataField name="3/31/24" fld="9" baseField="0" baseItem="0"/>
    <dataField name="4/30/24" fld="10" baseField="0" baseItem="0"/>
    <dataField name="5/31/24" fld="11" baseField="0" baseItem="0"/>
    <dataField name="6/30/24" fld="12" baseField="0" baseItem="0"/>
  </dataFields>
  <formats count="1">
    <format dxfId="0">
      <pivotArea outline="0" collapsedLevelsAreSubtotals="1" fieldPosition="0"/>
    </format>
  </formats>
  <chartFormats count="2">
    <chartFormat chart="2" format="0" series="1">
      <pivotArea type="data" outline="0" fieldPosition="0">
        <references count="1">
          <reference field="4294967294" count="1" selected="0">
            <x v="0"/>
          </reference>
        </references>
      </pivotArea>
    </chartFormat>
    <chartFormat chart="8"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vice_Area" xr10:uid="{0540CBE8-17CB-4906-AF8A-64F43E704647}" sourceName="Service Area">
  <pivotTables>
    <pivotTable tabId="11" name="PivotTable8"/>
  </pivotTables>
  <data>
    <tabular pivotCacheId="376784854">
      <items count="3">
        <i x="1" s="1"/>
        <i x="0" s="1"/>
        <i x="2"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tegory1" xr10:uid="{813A2DE4-6E66-4D5D-8BDC-C2493F2D15DE}" sourceName="Category">
  <pivotTables>
    <pivotTable tabId="24" name="PivotTable4"/>
  </pivotTables>
  <data>
    <tabular pivotCacheId="1213294360">
      <items count="4">
        <i x="3" s="1"/>
        <i x="2" s="1"/>
        <i x="1" s="1"/>
        <i x="0"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otal_Revenue1" xr10:uid="{9BA448E0-6554-4A43-9379-5CB752B8F308}" sourceName="Total Revenue">
  <pivotTables>
    <pivotTable tabId="25" name="PivotTable1"/>
  </pivotTables>
  <data>
    <tabular pivotCacheId="1861740642">
      <items count="4">
        <i x="3" s="1"/>
        <i x="0" s="1"/>
        <i x="2" s="1"/>
        <i x="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otal Revenue" xr10:uid="{3EF445C8-D74E-4859-8384-557B2F78FC7C}" cache="Slicer_Total_Revenue1" caption="Total Revenue" style="SlicerStyleDark5" rowHeight="257175"/>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rvice Area" xr10:uid="{CF952FA1-5298-4D34-A57F-7DD0174E4652}" cache="Slicer_Service_Area" caption="Total Expenses by Services" style="SlicerStyleDark5" rowHeight="257175"/>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ategory" xr10:uid="{CF2503A1-7A2E-4413-9ECE-4F645DCA201E}" cache="Slicer_Category1" caption="Cash Analysis" style="SlicerStyleDark5" rowHeight="257175"/>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ategory 2" xr10:uid="{5CBCB06D-4C77-4643-A541-960ABDE157AF}" cache="Slicer_Category1" caption="Cash Analysis" style="SlicerStyleDark5" rowHeight="257175"/>
</slicers>
</file>

<file path=xl/slicers/slicer5.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rvice Area 1" xr10:uid="{BAF565AC-4FB1-4C32-BE8D-4A5FF29AE0A2}" cache="Slicer_Service_Area" caption="Total Expenses by Services" style="Slicer Style 1" rowHeight="257175"/>
  <slicer name="Category 1" xr10:uid="{E7A9116D-9200-4E25-A766-5CEAA6A6E35A}" cache="Slicer_Category1" caption="Cash Analysis" style="Slicer Style 1" rowHeight="257175"/>
  <slicer name="Total Revenue 1" xr10:uid="{79650485-CAC1-4597-825F-D5105F374E9E}" cache="Slicer_Total_Revenue1" caption="Total Revenue" style="Slicer Style 1" rowHeight="257175"/>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3" Type="http://schemas.microsoft.com/office/2007/relationships/slicer" Target="../slicers/slicer3.xml"/><Relationship Id="rId2" Type="http://schemas.openxmlformats.org/officeDocument/2006/relationships/drawing" Target="../drawings/drawing8.xml"/><Relationship Id="rId1" Type="http://schemas.openxmlformats.org/officeDocument/2006/relationships/pivotTable" Target="../pivotTables/pivotTable3.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2" Type="http://schemas.microsoft.com/office/2007/relationships/slicer" Target="../slicers/slicer4.xml"/><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2" Type="http://schemas.microsoft.com/office/2007/relationships/slicer" Target="../slicers/slicer5.xml"/><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5.xml"/><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drawing" Target="../drawings/drawing7.xml"/><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65336-724F-4BF0-9756-C9DDCA49338C}">
  <dimension ref="A1:M18"/>
  <sheetViews>
    <sheetView workbookViewId="0">
      <selection activeCell="A19" sqref="A19"/>
    </sheetView>
  </sheetViews>
  <sheetFormatPr defaultColWidth="9.1796875" defaultRowHeight="14.5" x14ac:dyDescent="0.35"/>
  <cols>
    <col min="1" max="1" width="30.1796875" bestFit="1" customWidth="1"/>
    <col min="2" max="13" width="15.26953125" bestFit="1" customWidth="1"/>
  </cols>
  <sheetData>
    <row r="1" spans="1:13" x14ac:dyDescent="0.35">
      <c r="B1" s="1">
        <v>45138</v>
      </c>
      <c r="C1" s="1">
        <v>45169</v>
      </c>
      <c r="D1" s="1">
        <v>45199</v>
      </c>
      <c r="E1" s="1">
        <v>45230</v>
      </c>
      <c r="F1" s="1">
        <v>45260</v>
      </c>
      <c r="G1" s="1">
        <v>45291</v>
      </c>
      <c r="H1" s="1">
        <v>45322</v>
      </c>
      <c r="I1" s="1">
        <v>45351</v>
      </c>
      <c r="J1" s="1">
        <v>45382</v>
      </c>
      <c r="K1" s="1">
        <v>45412</v>
      </c>
      <c r="L1" s="1">
        <v>45443</v>
      </c>
      <c r="M1" s="1">
        <v>45473</v>
      </c>
    </row>
    <row r="2" spans="1:13" ht="15" thickBot="1" x14ac:dyDescent="0.4">
      <c r="A2" s="3" t="s">
        <v>0</v>
      </c>
    </row>
    <row r="3" spans="1:13" x14ac:dyDescent="0.35">
      <c r="A3" s="2" t="s">
        <v>1</v>
      </c>
      <c r="B3" s="8">
        <v>9389045</v>
      </c>
      <c r="C3" s="8">
        <v>11652665</v>
      </c>
      <c r="D3" s="8">
        <v>9901827</v>
      </c>
      <c r="E3" s="8">
        <v>9163671</v>
      </c>
      <c r="F3" s="8">
        <v>9133707</v>
      </c>
      <c r="G3" s="8">
        <v>15630931</v>
      </c>
      <c r="H3" s="8">
        <v>9283740</v>
      </c>
      <c r="I3" s="8">
        <v>11054535</v>
      </c>
      <c r="J3" s="8">
        <v>10207293</v>
      </c>
      <c r="K3" s="8">
        <v>7623219</v>
      </c>
      <c r="L3" s="8">
        <v>8381555</v>
      </c>
      <c r="M3" s="9">
        <v>8375495.5199999996</v>
      </c>
    </row>
    <row r="4" spans="1:13" x14ac:dyDescent="0.35">
      <c r="A4" s="2" t="s">
        <v>2</v>
      </c>
      <c r="B4" s="11">
        <v>4425970</v>
      </c>
      <c r="C4" s="11">
        <v>4806665</v>
      </c>
      <c r="D4" s="11">
        <v>4861566</v>
      </c>
      <c r="E4" s="11">
        <v>5563785</v>
      </c>
      <c r="F4" s="11">
        <v>5626229</v>
      </c>
      <c r="G4" s="11">
        <v>4966007</v>
      </c>
      <c r="H4" s="11">
        <v>6791753</v>
      </c>
      <c r="I4" s="11">
        <v>4765462</v>
      </c>
      <c r="J4" s="11">
        <v>5688191</v>
      </c>
      <c r="K4" s="11">
        <v>6933850</v>
      </c>
      <c r="L4" s="11">
        <v>6434631</v>
      </c>
      <c r="M4" s="12">
        <v>5777626</v>
      </c>
    </row>
    <row r="5" spans="1:13" x14ac:dyDescent="0.35">
      <c r="A5" s="5" t="s">
        <v>3</v>
      </c>
      <c r="B5" s="11"/>
      <c r="C5" s="11"/>
      <c r="D5" s="11"/>
      <c r="E5" s="11"/>
      <c r="F5" s="11"/>
      <c r="G5" s="11"/>
      <c r="H5" s="11"/>
      <c r="I5" s="11"/>
      <c r="J5" s="11"/>
      <c r="K5" s="11"/>
      <c r="L5" s="11"/>
      <c r="M5" s="12"/>
    </row>
    <row r="6" spans="1:13" x14ac:dyDescent="0.35">
      <c r="A6" s="4" t="s">
        <v>4</v>
      </c>
      <c r="B6" s="11">
        <v>326150</v>
      </c>
      <c r="C6" s="11">
        <v>320874</v>
      </c>
      <c r="D6" s="11">
        <v>217783</v>
      </c>
      <c r="E6" s="11">
        <v>212137</v>
      </c>
      <c r="F6" s="11">
        <v>209661</v>
      </c>
      <c r="G6" s="11">
        <v>209942</v>
      </c>
      <c r="H6" s="11">
        <v>249065</v>
      </c>
      <c r="I6" s="11">
        <v>236345</v>
      </c>
      <c r="J6" s="11">
        <v>224984</v>
      </c>
      <c r="K6" s="11">
        <v>207127</v>
      </c>
      <c r="L6" s="11">
        <v>195160</v>
      </c>
      <c r="M6" s="13">
        <v>186789.48</v>
      </c>
    </row>
    <row r="7" spans="1:13" x14ac:dyDescent="0.35">
      <c r="A7" s="4" t="s">
        <v>5</v>
      </c>
      <c r="B7" s="11">
        <v>3018573</v>
      </c>
      <c r="C7" s="11">
        <v>3018573</v>
      </c>
      <c r="D7" s="11">
        <v>4673045</v>
      </c>
      <c r="E7" s="11">
        <v>4673045</v>
      </c>
      <c r="F7" s="11">
        <v>4673045</v>
      </c>
      <c r="G7" s="11">
        <v>4699659</v>
      </c>
      <c r="H7" s="11">
        <v>9699659</v>
      </c>
      <c r="I7" s="11">
        <v>9699659</v>
      </c>
      <c r="J7" s="11">
        <v>9756345</v>
      </c>
      <c r="K7" s="11">
        <v>10756345</v>
      </c>
      <c r="L7" s="11">
        <v>10756345</v>
      </c>
      <c r="M7" s="13">
        <v>10821305</v>
      </c>
    </row>
    <row r="8" spans="1:13" x14ac:dyDescent="0.35">
      <c r="A8" s="4" t="s">
        <v>6</v>
      </c>
      <c r="B8" s="11">
        <v>0</v>
      </c>
      <c r="C8" s="11">
        <v>0</v>
      </c>
      <c r="D8" s="11">
        <v>0</v>
      </c>
      <c r="E8" s="11">
        <v>0</v>
      </c>
      <c r="F8" s="11">
        <v>0</v>
      </c>
      <c r="G8" s="11">
        <v>0</v>
      </c>
      <c r="H8" s="11">
        <v>0</v>
      </c>
      <c r="I8" s="11">
        <v>0</v>
      </c>
      <c r="J8" s="11">
        <v>0</v>
      </c>
      <c r="K8" s="11">
        <v>0</v>
      </c>
      <c r="L8" s="11">
        <v>0</v>
      </c>
      <c r="M8" s="13">
        <v>0</v>
      </c>
    </row>
    <row r="9" spans="1:13" x14ac:dyDescent="0.35">
      <c r="A9" s="4" t="s">
        <v>7</v>
      </c>
      <c r="B9" s="11">
        <v>52256</v>
      </c>
      <c r="C9" s="11">
        <v>54850</v>
      </c>
      <c r="D9" s="11">
        <v>53553</v>
      </c>
      <c r="E9" s="11">
        <v>53553</v>
      </c>
      <c r="F9" s="11">
        <v>53553</v>
      </c>
      <c r="G9" s="11">
        <v>53553</v>
      </c>
      <c r="H9" s="11">
        <v>71845</v>
      </c>
      <c r="I9" s="11">
        <v>71845</v>
      </c>
      <c r="J9" s="11">
        <v>72220</v>
      </c>
      <c r="K9" s="11">
        <v>76070</v>
      </c>
      <c r="L9" s="11">
        <v>76195</v>
      </c>
      <c r="M9" s="13">
        <v>74860</v>
      </c>
    </row>
    <row r="10" spans="1:13" x14ac:dyDescent="0.35">
      <c r="A10" s="4" t="s">
        <v>8</v>
      </c>
      <c r="B10" s="11">
        <v>0</v>
      </c>
      <c r="C10" s="11">
        <v>0</v>
      </c>
      <c r="D10" s="11">
        <v>0</v>
      </c>
      <c r="E10" s="11">
        <v>0</v>
      </c>
      <c r="F10" s="11">
        <v>0</v>
      </c>
      <c r="G10" s="11">
        <v>0</v>
      </c>
      <c r="H10" s="11">
        <v>0</v>
      </c>
      <c r="I10" s="11">
        <v>0</v>
      </c>
      <c r="J10" s="11">
        <v>0</v>
      </c>
      <c r="K10" s="11">
        <v>0</v>
      </c>
      <c r="L10" s="11">
        <v>0</v>
      </c>
      <c r="M10" s="13">
        <v>0</v>
      </c>
    </row>
    <row r="11" spans="1:13" x14ac:dyDescent="0.35">
      <c r="A11" s="4" t="s">
        <v>9</v>
      </c>
      <c r="B11" s="11">
        <v>30533</v>
      </c>
      <c r="C11" s="11">
        <v>30533</v>
      </c>
      <c r="D11" s="11">
        <v>30533</v>
      </c>
      <c r="E11" s="11">
        <v>30533</v>
      </c>
      <c r="F11" s="11">
        <v>30533</v>
      </c>
      <c r="G11" s="11">
        <v>30533</v>
      </c>
      <c r="H11" s="11">
        <v>30533</v>
      </c>
      <c r="I11" s="11">
        <v>30533</v>
      </c>
      <c r="J11" s="11">
        <v>30533</v>
      </c>
      <c r="K11" s="11">
        <v>30533</v>
      </c>
      <c r="L11" s="11">
        <v>30533</v>
      </c>
      <c r="M11" s="13">
        <v>57913</v>
      </c>
    </row>
    <row r="12" spans="1:13" ht="15" thickBot="1" x14ac:dyDescent="0.4">
      <c r="A12" s="4" t="s">
        <v>10</v>
      </c>
      <c r="B12" s="15">
        <v>14139326</v>
      </c>
      <c r="C12" s="15">
        <v>14117465</v>
      </c>
      <c r="D12" s="15">
        <v>14026928</v>
      </c>
      <c r="E12" s="15">
        <v>13948955</v>
      </c>
      <c r="F12" s="15">
        <v>13852097</v>
      </c>
      <c r="G12" s="15">
        <v>13929703</v>
      </c>
      <c r="H12" s="15">
        <v>13912610</v>
      </c>
      <c r="I12" s="15">
        <v>13938968</v>
      </c>
      <c r="J12" s="15">
        <v>14136985</v>
      </c>
      <c r="K12" s="15">
        <v>14610456</v>
      </c>
      <c r="L12" s="15">
        <v>14757209</v>
      </c>
      <c r="M12" s="16">
        <v>23901231</v>
      </c>
    </row>
    <row r="13" spans="1:13" x14ac:dyDescent="0.35">
      <c r="A13" s="5" t="s">
        <v>11</v>
      </c>
      <c r="B13" s="6">
        <f t="shared" ref="B13:M13" si="0">SUM(B3:B12)</f>
        <v>31381853</v>
      </c>
      <c r="C13" s="6">
        <f t="shared" si="0"/>
        <v>34001625</v>
      </c>
      <c r="D13" s="6">
        <f t="shared" si="0"/>
        <v>33765235</v>
      </c>
      <c r="E13" s="6">
        <f t="shared" si="0"/>
        <v>33645679</v>
      </c>
      <c r="F13" s="6">
        <f t="shared" si="0"/>
        <v>33578825</v>
      </c>
      <c r="G13" s="6">
        <f t="shared" si="0"/>
        <v>39520328</v>
      </c>
      <c r="H13" s="6">
        <f t="shared" si="0"/>
        <v>40039205</v>
      </c>
      <c r="I13" s="6">
        <f t="shared" si="0"/>
        <v>39797347</v>
      </c>
      <c r="J13" s="6">
        <f t="shared" si="0"/>
        <v>40116551</v>
      </c>
      <c r="K13" s="6">
        <f t="shared" si="0"/>
        <v>40237600</v>
      </c>
      <c r="L13" s="6">
        <f t="shared" si="0"/>
        <v>40631628</v>
      </c>
      <c r="M13" s="6">
        <f t="shared" si="0"/>
        <v>49195220</v>
      </c>
    </row>
    <row r="15" spans="1:13" ht="26" x14ac:dyDescent="0.35">
      <c r="A15" s="5" t="s">
        <v>12</v>
      </c>
      <c r="B15" s="17">
        <v>6070862</v>
      </c>
      <c r="C15" s="17">
        <v>6070862</v>
      </c>
      <c r="D15" s="17">
        <v>6070862</v>
      </c>
      <c r="E15" s="17">
        <v>6070862</v>
      </c>
      <c r="F15" s="17">
        <v>6070862</v>
      </c>
      <c r="G15" s="17">
        <v>6070862</v>
      </c>
      <c r="H15" s="17">
        <v>6070862</v>
      </c>
      <c r="I15" s="17">
        <v>6070862</v>
      </c>
      <c r="J15" s="17">
        <v>6070862</v>
      </c>
      <c r="K15" s="17">
        <v>6070862</v>
      </c>
      <c r="L15" s="17">
        <v>6070862</v>
      </c>
      <c r="M15" s="17">
        <v>6618972</v>
      </c>
    </row>
    <row r="17" spans="1:13" ht="15" thickBot="1" x14ac:dyDescent="0.4">
      <c r="B17" s="1">
        <v>45138</v>
      </c>
      <c r="C17" s="1">
        <v>45169</v>
      </c>
      <c r="D17" s="1">
        <v>45199</v>
      </c>
      <c r="E17" s="1">
        <v>45230</v>
      </c>
      <c r="F17" s="1">
        <v>45260</v>
      </c>
      <c r="G17" s="1">
        <v>45291</v>
      </c>
      <c r="H17" s="1">
        <v>45322</v>
      </c>
      <c r="I17" s="1">
        <v>45351</v>
      </c>
      <c r="J17" s="1">
        <v>45382</v>
      </c>
      <c r="K17" s="1">
        <v>45412</v>
      </c>
      <c r="L17" s="1">
        <v>45443</v>
      </c>
      <c r="M17" s="1">
        <v>45473</v>
      </c>
    </row>
    <row r="18" spans="1:13" ht="15" thickBot="1" x14ac:dyDescent="0.4">
      <c r="A18" s="18" t="s">
        <v>11</v>
      </c>
      <c r="B18" s="19">
        <f t="shared" ref="B18:M18" si="1">B13+B15</f>
        <v>37452715</v>
      </c>
      <c r="C18" s="19">
        <f t="shared" si="1"/>
        <v>40072487</v>
      </c>
      <c r="D18" s="19">
        <f t="shared" si="1"/>
        <v>39836097</v>
      </c>
      <c r="E18" s="19">
        <f t="shared" si="1"/>
        <v>39716541</v>
      </c>
      <c r="F18" s="19">
        <f t="shared" si="1"/>
        <v>39649687</v>
      </c>
      <c r="G18" s="19">
        <f t="shared" si="1"/>
        <v>45591190</v>
      </c>
      <c r="H18" s="19">
        <f t="shared" si="1"/>
        <v>46110067</v>
      </c>
      <c r="I18" s="19">
        <f t="shared" si="1"/>
        <v>45868209</v>
      </c>
      <c r="J18" s="19">
        <f t="shared" si="1"/>
        <v>46187413</v>
      </c>
      <c r="K18" s="19">
        <f t="shared" si="1"/>
        <v>46308462</v>
      </c>
      <c r="L18" s="19">
        <f t="shared" si="1"/>
        <v>46702490</v>
      </c>
      <c r="M18" s="20">
        <f t="shared" si="1"/>
        <v>55814192</v>
      </c>
    </row>
  </sheetData>
  <pageMargins left="0.7" right="0.7" top="0.75" bottom="0.75" header="0.3" footer="0.3"/>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60016-0BBB-446F-8986-3C3FBFA4DCAE}">
  <dimension ref="A2:M35"/>
  <sheetViews>
    <sheetView workbookViewId="0">
      <selection activeCell="C51" sqref="C51"/>
    </sheetView>
  </sheetViews>
  <sheetFormatPr defaultColWidth="9.1796875" defaultRowHeight="14.5" x14ac:dyDescent="0.35"/>
  <cols>
    <col min="1" max="1" width="38.26953125" customWidth="1"/>
    <col min="2" max="13" width="15.26953125" bestFit="1" customWidth="1"/>
  </cols>
  <sheetData>
    <row r="2" spans="1:13" x14ac:dyDescent="0.35">
      <c r="B2" s="1">
        <v>45138</v>
      </c>
      <c r="C2" s="1">
        <v>45169</v>
      </c>
      <c r="D2" s="1">
        <v>45199</v>
      </c>
      <c r="E2" s="1">
        <v>45230</v>
      </c>
      <c r="F2" s="1">
        <v>45260</v>
      </c>
      <c r="G2" s="1">
        <v>45291</v>
      </c>
      <c r="H2" s="1">
        <v>45322</v>
      </c>
      <c r="I2" s="1">
        <v>45351</v>
      </c>
      <c r="J2" s="1">
        <v>45382</v>
      </c>
      <c r="K2" s="1">
        <v>45412</v>
      </c>
      <c r="L2" s="1">
        <v>45443</v>
      </c>
      <c r="M2" s="1">
        <v>45473</v>
      </c>
    </row>
    <row r="3" spans="1:13" ht="15" thickBot="1" x14ac:dyDescent="0.4">
      <c r="A3" s="3" t="s">
        <v>0</v>
      </c>
    </row>
    <row r="4" spans="1:13" x14ac:dyDescent="0.35">
      <c r="A4" s="2" t="s">
        <v>1</v>
      </c>
      <c r="B4" s="7">
        <v>9389045</v>
      </c>
      <c r="C4" s="8">
        <v>11652665</v>
      </c>
      <c r="D4" s="8">
        <v>9901827</v>
      </c>
      <c r="E4" s="8">
        <v>9163671</v>
      </c>
      <c r="F4" s="8">
        <v>9133707</v>
      </c>
      <c r="G4" s="8">
        <f>15630931</f>
        <v>15630931</v>
      </c>
      <c r="H4" s="8">
        <v>9283740</v>
      </c>
      <c r="I4" s="8">
        <v>11054535</v>
      </c>
      <c r="J4" s="8">
        <v>10207293</v>
      </c>
      <c r="K4" s="8">
        <v>7623219</v>
      </c>
      <c r="L4" s="8">
        <v>8381555</v>
      </c>
      <c r="M4" s="9">
        <v>8375495.5199999996</v>
      </c>
    </row>
    <row r="5" spans="1:13" x14ac:dyDescent="0.35">
      <c r="A5" s="4" t="s">
        <v>4</v>
      </c>
      <c r="B5" s="10">
        <v>326150</v>
      </c>
      <c r="C5" s="11">
        <v>320874</v>
      </c>
      <c r="D5" s="11">
        <v>217783</v>
      </c>
      <c r="E5" s="11">
        <v>212137</v>
      </c>
      <c r="F5" s="11">
        <v>209661</v>
      </c>
      <c r="G5" s="11">
        <f>209942</f>
        <v>209942</v>
      </c>
      <c r="H5" s="11">
        <v>249065</v>
      </c>
      <c r="I5" s="11">
        <v>236345</v>
      </c>
      <c r="J5" s="11">
        <v>224984</v>
      </c>
      <c r="K5" s="11">
        <v>207127</v>
      </c>
      <c r="L5" s="11">
        <v>195160</v>
      </c>
      <c r="M5" s="13">
        <v>186789.48</v>
      </c>
    </row>
    <row r="6" spans="1:13" ht="15" thickBot="1" x14ac:dyDescent="0.4">
      <c r="A6" s="4" t="s">
        <v>5</v>
      </c>
      <c r="B6" s="14">
        <v>3018573</v>
      </c>
      <c r="C6" s="15">
        <v>3018573</v>
      </c>
      <c r="D6" s="15">
        <v>4673045</v>
      </c>
      <c r="E6" s="15">
        <v>4673045</v>
      </c>
      <c r="F6" s="15">
        <v>4673045</v>
      </c>
      <c r="G6" s="15">
        <v>4699659</v>
      </c>
      <c r="H6" s="15">
        <v>9699659</v>
      </c>
      <c r="I6" s="15">
        <v>9699659</v>
      </c>
      <c r="J6" s="15">
        <v>9756345</v>
      </c>
      <c r="K6" s="15">
        <v>10756345</v>
      </c>
      <c r="L6" s="15">
        <v>10756345</v>
      </c>
      <c r="M6" s="16">
        <v>10821305</v>
      </c>
    </row>
    <row r="7" spans="1:13" x14ac:dyDescent="0.35">
      <c r="A7" s="4"/>
      <c r="B7" s="11"/>
      <c r="C7" s="11"/>
      <c r="D7" s="11"/>
      <c r="E7" s="11"/>
      <c r="F7" s="11"/>
      <c r="G7" s="11"/>
      <c r="H7" s="11"/>
      <c r="I7" s="11"/>
      <c r="J7" s="11"/>
      <c r="K7" s="11"/>
      <c r="L7" s="11"/>
      <c r="M7" s="73"/>
    </row>
    <row r="8" spans="1:13" x14ac:dyDescent="0.35">
      <c r="A8" s="75" t="s">
        <v>82</v>
      </c>
      <c r="B8" s="76"/>
      <c r="C8" s="76"/>
      <c r="D8" s="76"/>
      <c r="E8" s="76"/>
      <c r="F8" s="76"/>
      <c r="G8" s="76"/>
      <c r="H8" s="76"/>
      <c r="I8" s="76"/>
      <c r="J8" s="76"/>
      <c r="K8" s="76"/>
      <c r="L8" s="76"/>
      <c r="M8" s="77"/>
    </row>
    <row r="9" spans="1:13" x14ac:dyDescent="0.35">
      <c r="A9" s="78" t="s">
        <v>1</v>
      </c>
      <c r="B9" s="76"/>
      <c r="C9" s="76"/>
      <c r="D9" s="76"/>
      <c r="E9" s="76"/>
      <c r="F9" s="76"/>
      <c r="G9" s="76">
        <v>-5000000</v>
      </c>
      <c r="H9" s="76"/>
      <c r="I9" s="76"/>
      <c r="J9" s="76"/>
      <c r="K9" s="76"/>
      <c r="L9" s="76"/>
      <c r="M9" s="77"/>
    </row>
    <row r="10" spans="1:13" x14ac:dyDescent="0.35">
      <c r="A10" s="75" t="s">
        <v>4</v>
      </c>
      <c r="B10" s="76"/>
      <c r="C10" s="76"/>
      <c r="D10" s="76"/>
      <c r="E10" s="76"/>
      <c r="F10" s="76"/>
      <c r="G10" s="76">
        <v>5000000</v>
      </c>
      <c r="H10" s="76"/>
      <c r="I10" s="76"/>
      <c r="J10" s="76"/>
      <c r="K10" s="76"/>
      <c r="L10" s="76"/>
      <c r="M10" s="77"/>
    </row>
    <row r="11" spans="1:13" x14ac:dyDescent="0.35">
      <c r="A11" s="75" t="s">
        <v>5</v>
      </c>
      <c r="B11" s="76"/>
      <c r="C11" s="76"/>
      <c r="D11" s="76"/>
      <c r="E11" s="76"/>
      <c r="F11" s="76"/>
      <c r="G11" s="76"/>
      <c r="H11" s="76"/>
      <c r="I11" s="76"/>
      <c r="J11" s="76"/>
      <c r="K11" s="76"/>
      <c r="L11" s="76"/>
      <c r="M11" s="76"/>
    </row>
    <row r="12" spans="1:13" x14ac:dyDescent="0.35">
      <c r="A12" s="4"/>
      <c r="B12" s="11"/>
      <c r="C12" s="11"/>
      <c r="D12" s="11"/>
      <c r="E12" s="11"/>
      <c r="F12" s="11"/>
      <c r="G12" s="11"/>
      <c r="H12" s="11"/>
      <c r="I12" s="11"/>
      <c r="J12" s="11"/>
      <c r="K12" s="11"/>
      <c r="L12" s="11"/>
      <c r="M12" s="73"/>
    </row>
    <row r="13" spans="1:13" x14ac:dyDescent="0.35">
      <c r="A13" s="78" t="s">
        <v>1</v>
      </c>
      <c r="B13" s="76">
        <f t="shared" ref="B13:M13" si="0">B4+B9</f>
        <v>9389045</v>
      </c>
      <c r="C13" s="76">
        <f t="shared" si="0"/>
        <v>11652665</v>
      </c>
      <c r="D13" s="76">
        <f t="shared" si="0"/>
        <v>9901827</v>
      </c>
      <c r="E13" s="76">
        <f t="shared" si="0"/>
        <v>9163671</v>
      </c>
      <c r="F13" s="76">
        <f t="shared" si="0"/>
        <v>9133707</v>
      </c>
      <c r="G13" s="76">
        <f t="shared" si="0"/>
        <v>10630931</v>
      </c>
      <c r="H13" s="76">
        <f t="shared" si="0"/>
        <v>9283740</v>
      </c>
      <c r="I13" s="76">
        <f t="shared" si="0"/>
        <v>11054535</v>
      </c>
      <c r="J13" s="76">
        <f t="shared" si="0"/>
        <v>10207293</v>
      </c>
      <c r="K13" s="76">
        <f t="shared" si="0"/>
        <v>7623219</v>
      </c>
      <c r="L13" s="76">
        <f t="shared" si="0"/>
        <v>8381555</v>
      </c>
      <c r="M13" s="76">
        <f t="shared" si="0"/>
        <v>8375495.5199999996</v>
      </c>
    </row>
    <row r="14" spans="1:13" x14ac:dyDescent="0.35">
      <c r="A14" s="75" t="s">
        <v>4</v>
      </c>
      <c r="B14" s="76">
        <f t="shared" ref="B14:M14" si="1">B5+B10</f>
        <v>326150</v>
      </c>
      <c r="C14" s="76">
        <f t="shared" si="1"/>
        <v>320874</v>
      </c>
      <c r="D14" s="76">
        <f t="shared" si="1"/>
        <v>217783</v>
      </c>
      <c r="E14" s="76">
        <f t="shared" si="1"/>
        <v>212137</v>
      </c>
      <c r="F14" s="76">
        <f t="shared" si="1"/>
        <v>209661</v>
      </c>
      <c r="G14" s="76">
        <f t="shared" si="1"/>
        <v>5209942</v>
      </c>
      <c r="H14" s="76">
        <f t="shared" si="1"/>
        <v>249065</v>
      </c>
      <c r="I14" s="76">
        <f t="shared" si="1"/>
        <v>236345</v>
      </c>
      <c r="J14" s="76">
        <f t="shared" si="1"/>
        <v>224984</v>
      </c>
      <c r="K14" s="76">
        <f t="shared" si="1"/>
        <v>207127</v>
      </c>
      <c r="L14" s="76">
        <f t="shared" si="1"/>
        <v>195160</v>
      </c>
      <c r="M14" s="76">
        <f t="shared" si="1"/>
        <v>186789.48</v>
      </c>
    </row>
    <row r="15" spans="1:13" x14ac:dyDescent="0.35">
      <c r="A15" s="75" t="s">
        <v>5</v>
      </c>
      <c r="B15" s="76">
        <f t="shared" ref="B15:M15" si="2">B6+B11</f>
        <v>3018573</v>
      </c>
      <c r="C15" s="76">
        <f t="shared" si="2"/>
        <v>3018573</v>
      </c>
      <c r="D15" s="76">
        <f t="shared" si="2"/>
        <v>4673045</v>
      </c>
      <c r="E15" s="76">
        <f t="shared" si="2"/>
        <v>4673045</v>
      </c>
      <c r="F15" s="76">
        <f t="shared" si="2"/>
        <v>4673045</v>
      </c>
      <c r="G15" s="76">
        <f t="shared" si="2"/>
        <v>4699659</v>
      </c>
      <c r="H15" s="76">
        <f t="shared" si="2"/>
        <v>9699659</v>
      </c>
      <c r="I15" s="76">
        <f t="shared" si="2"/>
        <v>9699659</v>
      </c>
      <c r="J15" s="76">
        <f t="shared" si="2"/>
        <v>9756345</v>
      </c>
      <c r="K15" s="76">
        <f t="shared" si="2"/>
        <v>10756345</v>
      </c>
      <c r="L15" s="76">
        <f t="shared" si="2"/>
        <v>10756345</v>
      </c>
      <c r="M15" s="76">
        <f t="shared" si="2"/>
        <v>10821305</v>
      </c>
    </row>
    <row r="16" spans="1:13" x14ac:dyDescent="0.35">
      <c r="A16" s="4"/>
      <c r="B16" s="11"/>
      <c r="C16" s="11"/>
      <c r="D16" s="11"/>
      <c r="E16" s="11"/>
      <c r="F16" s="11"/>
      <c r="G16" s="11"/>
      <c r="H16" s="11"/>
      <c r="I16" s="11"/>
      <c r="J16" s="11"/>
      <c r="K16" s="11"/>
      <c r="L16" s="11"/>
      <c r="M16" s="73"/>
    </row>
    <row r="17" spans="1:13" x14ac:dyDescent="0.35">
      <c r="A17" s="75" t="s">
        <v>82</v>
      </c>
      <c r="B17" s="76"/>
      <c r="C17" s="76"/>
      <c r="D17" s="76"/>
      <c r="E17" s="76"/>
      <c r="F17" s="76"/>
      <c r="G17" s="76"/>
      <c r="H17" s="76">
        <v>5000000</v>
      </c>
      <c r="I17" s="76">
        <f>H17+H19</f>
        <v>4978631.5999999996</v>
      </c>
      <c r="J17" s="76">
        <f>I17+I18+I19</f>
        <v>4958553.63</v>
      </c>
      <c r="K17" s="76">
        <f>J17+J18+J19</f>
        <v>4940916.59</v>
      </c>
      <c r="L17" s="76">
        <f>K17+K18+K19</f>
        <v>4896792.6899999995</v>
      </c>
      <c r="M17" s="77">
        <f>L17+L18+L19</f>
        <v>4835396.3899999997</v>
      </c>
    </row>
    <row r="18" spans="1:13" x14ac:dyDescent="0.35">
      <c r="A18" s="75" t="s">
        <v>83</v>
      </c>
      <c r="B18" s="76"/>
      <c r="C18" s="76"/>
      <c r="D18" s="76"/>
      <c r="E18" s="76"/>
      <c r="F18" s="76"/>
      <c r="G18" s="76"/>
      <c r="H18" s="76"/>
      <c r="I18" s="76"/>
      <c r="J18" s="76">
        <v>18897.54</v>
      </c>
      <c r="K18" s="76"/>
      <c r="L18" s="76"/>
      <c r="M18" s="77">
        <v>31945.43</v>
      </c>
    </row>
    <row r="19" spans="1:13" x14ac:dyDescent="0.35">
      <c r="A19" s="75" t="s">
        <v>84</v>
      </c>
      <c r="B19" s="76"/>
      <c r="C19" s="76"/>
      <c r="D19" s="76"/>
      <c r="E19" s="76"/>
      <c r="F19" s="76"/>
      <c r="G19" s="76"/>
      <c r="H19" s="79">
        <v>-21368.400000000001</v>
      </c>
      <c r="I19" s="79">
        <v>-20077.97</v>
      </c>
      <c r="J19" s="79">
        <v>-36534.58</v>
      </c>
      <c r="K19" s="79">
        <v>-44123.9</v>
      </c>
      <c r="L19" s="79">
        <v>-61396.3</v>
      </c>
      <c r="M19" s="79">
        <v>-54447.21</v>
      </c>
    </row>
    <row r="20" spans="1:13" x14ac:dyDescent="0.35">
      <c r="A20" s="4"/>
      <c r="B20" s="74">
        <f t="shared" ref="B20:G20" si="3">SUM(B17:B19)</f>
        <v>0</v>
      </c>
      <c r="C20" s="74">
        <f t="shared" si="3"/>
        <v>0</v>
      </c>
      <c r="D20" s="74">
        <f t="shared" si="3"/>
        <v>0</v>
      </c>
      <c r="E20" s="74">
        <f t="shared" si="3"/>
        <v>0</v>
      </c>
      <c r="F20" s="74">
        <f t="shared" si="3"/>
        <v>0</v>
      </c>
      <c r="G20" s="74">
        <f t="shared" si="3"/>
        <v>0</v>
      </c>
      <c r="H20" s="74">
        <f>SUM(H17:H19)</f>
        <v>4978631.5999999996</v>
      </c>
      <c r="I20" s="74">
        <f t="shared" ref="I20" si="4">SUM(I17:I19)</f>
        <v>4958553.63</v>
      </c>
      <c r="J20" s="74">
        <f t="shared" ref="J20" si="5">SUM(J17:J19)</f>
        <v>4940916.59</v>
      </c>
      <c r="K20" s="74">
        <f t="shared" ref="K20" si="6">SUM(K17:K19)</f>
        <v>4896792.6899999995</v>
      </c>
      <c r="L20" s="74">
        <f t="shared" ref="L20" si="7">SUM(L17:L19)</f>
        <v>4835396.3899999997</v>
      </c>
      <c r="M20" s="74">
        <f t="shared" ref="M20" si="8">SUM(M17:M19)</f>
        <v>4812894.6099999994</v>
      </c>
    </row>
    <row r="21" spans="1:13" x14ac:dyDescent="0.35">
      <c r="A21" s="4"/>
      <c r="B21" s="11"/>
      <c r="C21" s="11"/>
      <c r="D21" s="11"/>
      <c r="E21" s="11"/>
      <c r="F21" s="11"/>
      <c r="G21" s="11"/>
      <c r="H21" s="74"/>
      <c r="I21" s="74"/>
      <c r="J21" s="74"/>
      <c r="K21" s="74"/>
      <c r="L21" s="74"/>
      <c r="M21" s="74"/>
    </row>
    <row r="22" spans="1:13" x14ac:dyDescent="0.35">
      <c r="A22" s="4"/>
      <c r="B22" s="11"/>
      <c r="C22" s="11"/>
      <c r="D22" s="11"/>
      <c r="E22" s="11"/>
      <c r="F22" s="11"/>
      <c r="G22" s="11"/>
      <c r="H22" s="11"/>
      <c r="I22" s="11"/>
      <c r="J22" s="11"/>
      <c r="K22" s="11"/>
      <c r="L22" s="11"/>
      <c r="M22" s="73"/>
    </row>
    <row r="23" spans="1:13" x14ac:dyDescent="0.35">
      <c r="A23" s="3" t="s">
        <v>95</v>
      </c>
      <c r="B23" s="1">
        <v>45138</v>
      </c>
      <c r="C23" s="1">
        <v>45169</v>
      </c>
      <c r="D23" s="1">
        <v>45199</v>
      </c>
      <c r="E23" s="1">
        <v>45230</v>
      </c>
      <c r="F23" s="1">
        <v>45260</v>
      </c>
      <c r="G23" s="1">
        <v>45291</v>
      </c>
      <c r="H23" s="1">
        <v>45322</v>
      </c>
      <c r="I23" s="1">
        <v>45351</v>
      </c>
      <c r="J23" s="1">
        <v>45382</v>
      </c>
      <c r="K23" s="1">
        <v>45412</v>
      </c>
      <c r="L23" s="1">
        <v>45443</v>
      </c>
      <c r="M23" s="1">
        <v>45473</v>
      </c>
    </row>
    <row r="24" spans="1:13" x14ac:dyDescent="0.35">
      <c r="A24" s="78" t="s">
        <v>1</v>
      </c>
      <c r="B24" s="76">
        <f>B13</f>
        <v>9389045</v>
      </c>
      <c r="C24" s="76">
        <f t="shared" ref="C24:M24" si="9">C13</f>
        <v>11652665</v>
      </c>
      <c r="D24" s="76">
        <f t="shared" si="9"/>
        <v>9901827</v>
      </c>
      <c r="E24" s="76">
        <f t="shared" si="9"/>
        <v>9163671</v>
      </c>
      <c r="F24" s="76">
        <f t="shared" si="9"/>
        <v>9133707</v>
      </c>
      <c r="G24" s="76">
        <f t="shared" si="9"/>
        <v>10630931</v>
      </c>
      <c r="H24" s="76">
        <f t="shared" si="9"/>
        <v>9283740</v>
      </c>
      <c r="I24" s="76">
        <f t="shared" si="9"/>
        <v>11054535</v>
      </c>
      <c r="J24" s="76">
        <f t="shared" si="9"/>
        <v>10207293</v>
      </c>
      <c r="K24" s="76">
        <f t="shared" si="9"/>
        <v>7623219</v>
      </c>
      <c r="L24" s="76">
        <f t="shared" si="9"/>
        <v>8381555</v>
      </c>
      <c r="M24" s="76">
        <f t="shared" si="9"/>
        <v>8375495.5199999996</v>
      </c>
    </row>
    <row r="25" spans="1:13" x14ac:dyDescent="0.35">
      <c r="A25" s="75" t="s">
        <v>4</v>
      </c>
      <c r="B25" s="76">
        <f>B14</f>
        <v>326150</v>
      </c>
      <c r="C25" s="76">
        <f t="shared" ref="C25:M25" si="10">C14</f>
        <v>320874</v>
      </c>
      <c r="D25" s="76">
        <f t="shared" si="10"/>
        <v>217783</v>
      </c>
      <c r="E25" s="76">
        <f t="shared" si="10"/>
        <v>212137</v>
      </c>
      <c r="F25" s="76">
        <f t="shared" si="10"/>
        <v>209661</v>
      </c>
      <c r="G25" s="76">
        <f t="shared" si="10"/>
        <v>5209942</v>
      </c>
      <c r="H25" s="76">
        <f t="shared" si="10"/>
        <v>249065</v>
      </c>
      <c r="I25" s="76">
        <f t="shared" si="10"/>
        <v>236345</v>
      </c>
      <c r="J25" s="76">
        <f t="shared" si="10"/>
        <v>224984</v>
      </c>
      <c r="K25" s="76">
        <f t="shared" si="10"/>
        <v>207127</v>
      </c>
      <c r="L25" s="76">
        <f t="shared" si="10"/>
        <v>195160</v>
      </c>
      <c r="M25" s="76">
        <f t="shared" si="10"/>
        <v>186789.48</v>
      </c>
    </row>
    <row r="26" spans="1:13" x14ac:dyDescent="0.35">
      <c r="A26" s="75" t="s">
        <v>107</v>
      </c>
      <c r="B26" s="76">
        <f t="shared" ref="B26:H26" si="11">B6-B20</f>
        <v>3018573</v>
      </c>
      <c r="C26" s="76">
        <f t="shared" si="11"/>
        <v>3018573</v>
      </c>
      <c r="D26" s="76">
        <f t="shared" si="11"/>
        <v>4673045</v>
      </c>
      <c r="E26" s="76">
        <f t="shared" si="11"/>
        <v>4673045</v>
      </c>
      <c r="F26" s="76">
        <f t="shared" si="11"/>
        <v>4673045</v>
      </c>
      <c r="G26" s="76">
        <f t="shared" si="11"/>
        <v>4699659</v>
      </c>
      <c r="H26" s="76">
        <f t="shared" si="11"/>
        <v>4721027.4000000004</v>
      </c>
      <c r="I26" s="76">
        <f>I6-I20</f>
        <v>4741105.37</v>
      </c>
      <c r="J26" s="76">
        <f t="shared" ref="J26:M26" si="12">J6-J20</f>
        <v>4815428.41</v>
      </c>
      <c r="K26" s="76">
        <f t="shared" si="12"/>
        <v>5859552.3100000005</v>
      </c>
      <c r="L26" s="76">
        <f t="shared" si="12"/>
        <v>5920948.6100000003</v>
      </c>
      <c r="M26" s="76">
        <f t="shared" si="12"/>
        <v>6008410.3900000006</v>
      </c>
    </row>
    <row r="27" spans="1:13" x14ac:dyDescent="0.35">
      <c r="A27" s="75" t="s">
        <v>108</v>
      </c>
      <c r="B27" s="76">
        <f t="shared" ref="B27:H27" si="13">B20</f>
        <v>0</v>
      </c>
      <c r="C27" s="76">
        <f t="shared" si="13"/>
        <v>0</v>
      </c>
      <c r="D27" s="76">
        <f t="shared" si="13"/>
        <v>0</v>
      </c>
      <c r="E27" s="76">
        <f t="shared" si="13"/>
        <v>0</v>
      </c>
      <c r="F27" s="76">
        <f t="shared" si="13"/>
        <v>0</v>
      </c>
      <c r="G27" s="76">
        <f t="shared" si="13"/>
        <v>0</v>
      </c>
      <c r="H27" s="76">
        <f t="shared" si="13"/>
        <v>4978631.5999999996</v>
      </c>
      <c r="I27" s="76">
        <f>I20</f>
        <v>4958553.63</v>
      </c>
      <c r="J27" s="76">
        <f t="shared" ref="J27:M27" si="14">J20</f>
        <v>4940916.59</v>
      </c>
      <c r="K27" s="76">
        <f t="shared" si="14"/>
        <v>4896792.6899999995</v>
      </c>
      <c r="L27" s="76">
        <f t="shared" si="14"/>
        <v>4835396.3899999997</v>
      </c>
      <c r="M27" s="76">
        <f t="shared" si="14"/>
        <v>4812894.6099999994</v>
      </c>
    </row>
    <row r="28" spans="1:13" x14ac:dyDescent="0.35">
      <c r="B28" s="22">
        <f t="shared" ref="B28:M28" si="15">SUM(B24:B27)-SUM(B4:B6)</f>
        <v>0</v>
      </c>
      <c r="C28" s="22">
        <f t="shared" si="15"/>
        <v>0</v>
      </c>
      <c r="D28" s="22">
        <f t="shared" si="15"/>
        <v>0</v>
      </c>
      <c r="E28" s="22">
        <f t="shared" si="15"/>
        <v>0</v>
      </c>
      <c r="F28" s="22">
        <f t="shared" si="15"/>
        <v>0</v>
      </c>
      <c r="G28" s="22">
        <f t="shared" si="15"/>
        <v>0</v>
      </c>
      <c r="H28" s="22">
        <f t="shared" si="15"/>
        <v>0</v>
      </c>
      <c r="I28" s="22">
        <f t="shared" si="15"/>
        <v>0</v>
      </c>
      <c r="J28" s="22">
        <f t="shared" si="15"/>
        <v>0</v>
      </c>
      <c r="K28" s="22">
        <f t="shared" si="15"/>
        <v>0</v>
      </c>
      <c r="L28" s="22">
        <f t="shared" si="15"/>
        <v>0</v>
      </c>
      <c r="M28" s="22">
        <f t="shared" si="15"/>
        <v>0</v>
      </c>
    </row>
    <row r="29" spans="1:13" x14ac:dyDescent="0.35">
      <c r="M29" s="22">
        <f>M27+M25</f>
        <v>4999684.09</v>
      </c>
    </row>
    <row r="30" spans="1:13" x14ac:dyDescent="0.35">
      <c r="M30" s="22">
        <f>'Net Assets'!B8+'Net Assets'!B9+'Net Assets'!B11+'Net Assets'!B12</f>
        <v>4999684.09</v>
      </c>
    </row>
    <row r="33" spans="2:13" x14ac:dyDescent="0.35">
      <c r="B33" s="22">
        <f>SUM(B24:B27)</f>
        <v>12733768</v>
      </c>
      <c r="C33" s="22">
        <f t="shared" ref="C33:M33" si="16">SUM(C24:C27)</f>
        <v>14992112</v>
      </c>
      <c r="D33" s="22">
        <f t="shared" si="16"/>
        <v>14792655</v>
      </c>
      <c r="E33" s="22">
        <f t="shared" si="16"/>
        <v>14048853</v>
      </c>
      <c r="F33" s="22">
        <f t="shared" si="16"/>
        <v>14016413</v>
      </c>
      <c r="G33" s="22">
        <f t="shared" si="16"/>
        <v>20540532</v>
      </c>
      <c r="H33" s="22">
        <f t="shared" si="16"/>
        <v>19232464</v>
      </c>
      <c r="I33" s="22">
        <f t="shared" si="16"/>
        <v>20990539</v>
      </c>
      <c r="J33" s="22">
        <f t="shared" si="16"/>
        <v>20188622</v>
      </c>
      <c r="K33" s="22">
        <f t="shared" si="16"/>
        <v>18586691</v>
      </c>
      <c r="L33" s="22">
        <f t="shared" si="16"/>
        <v>19333060</v>
      </c>
      <c r="M33" s="22">
        <f t="shared" si="16"/>
        <v>19383590</v>
      </c>
    </row>
    <row r="35" spans="2:13" x14ac:dyDescent="0.35">
      <c r="B35" s="22"/>
      <c r="C35" s="22"/>
      <c r="D35" s="22"/>
      <c r="E35" s="22"/>
      <c r="F35" s="22"/>
      <c r="G35" s="22"/>
      <c r="H35" s="22"/>
      <c r="I35" s="22"/>
      <c r="J35" s="22"/>
      <c r="K35" s="22"/>
      <c r="L35" s="22"/>
      <c r="M35" s="2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B9965-2B8C-4083-A254-08EC48FD5FC9}">
  <dimension ref="A1:D17"/>
  <sheetViews>
    <sheetView workbookViewId="0">
      <selection activeCell="AI37" sqref="AI37"/>
    </sheetView>
  </sheetViews>
  <sheetFormatPr defaultRowHeight="14.5" x14ac:dyDescent="0.35"/>
  <cols>
    <col min="1" max="1" width="8.54296875" bestFit="1" customWidth="1"/>
    <col min="2" max="2" width="14.26953125" bestFit="1" customWidth="1"/>
    <col min="4" max="4" width="12.54296875" bestFit="1" customWidth="1"/>
  </cols>
  <sheetData>
    <row r="1" spans="1:4" x14ac:dyDescent="0.35">
      <c r="A1" s="64" t="s">
        <v>95</v>
      </c>
      <c r="B1" t="s">
        <v>110</v>
      </c>
    </row>
    <row r="3" spans="1:4" x14ac:dyDescent="0.35">
      <c r="A3" s="64" t="s">
        <v>85</v>
      </c>
    </row>
    <row r="4" spans="1:4" x14ac:dyDescent="0.35">
      <c r="A4" s="80" t="s">
        <v>96</v>
      </c>
      <c r="B4" s="33">
        <v>12733768</v>
      </c>
      <c r="D4" s="22"/>
    </row>
    <row r="5" spans="1:4" x14ac:dyDescent="0.35">
      <c r="A5" s="80" t="s">
        <v>97</v>
      </c>
      <c r="B5" s="33">
        <v>14992112</v>
      </c>
    </row>
    <row r="6" spans="1:4" x14ac:dyDescent="0.35">
      <c r="A6" s="80" t="s">
        <v>98</v>
      </c>
      <c r="B6" s="33">
        <v>14792655</v>
      </c>
    </row>
    <row r="7" spans="1:4" x14ac:dyDescent="0.35">
      <c r="A7" s="80" t="s">
        <v>86</v>
      </c>
      <c r="B7" s="33">
        <v>14048853</v>
      </c>
    </row>
    <row r="8" spans="1:4" x14ac:dyDescent="0.35">
      <c r="A8" s="80" t="s">
        <v>87</v>
      </c>
      <c r="B8" s="33">
        <v>14016413</v>
      </c>
    </row>
    <row r="9" spans="1:4" x14ac:dyDescent="0.35">
      <c r="A9" s="80" t="s">
        <v>88</v>
      </c>
      <c r="B9" s="33">
        <v>20540532</v>
      </c>
    </row>
    <row r="10" spans="1:4" x14ac:dyDescent="0.35">
      <c r="A10" s="80" t="s">
        <v>89</v>
      </c>
      <c r="B10" s="33">
        <v>19232464</v>
      </c>
    </row>
    <row r="11" spans="1:4" x14ac:dyDescent="0.35">
      <c r="A11" s="80" t="s">
        <v>90</v>
      </c>
      <c r="B11" s="33">
        <v>20990539</v>
      </c>
    </row>
    <row r="12" spans="1:4" x14ac:dyDescent="0.35">
      <c r="A12" s="80" t="s">
        <v>91</v>
      </c>
      <c r="B12" s="33">
        <v>20188622</v>
      </c>
    </row>
    <row r="13" spans="1:4" x14ac:dyDescent="0.35">
      <c r="A13" s="80" t="s">
        <v>92</v>
      </c>
      <c r="B13" s="33">
        <v>18586691</v>
      </c>
    </row>
    <row r="14" spans="1:4" x14ac:dyDescent="0.35">
      <c r="A14" s="80" t="s">
        <v>93</v>
      </c>
      <c r="B14" s="33">
        <v>19333060</v>
      </c>
    </row>
    <row r="15" spans="1:4" x14ac:dyDescent="0.35">
      <c r="A15" s="80" t="s">
        <v>94</v>
      </c>
      <c r="B15" s="33">
        <v>19383590</v>
      </c>
    </row>
    <row r="17" spans="2:2" x14ac:dyDescent="0.35">
      <c r="B17" s="31">
        <f>GETPIVOTDATA("6/30/24",$A$3)</f>
        <v>19383590</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420E4-5F38-45BF-9ED9-F83528360702}">
  <dimension ref="A1:M49"/>
  <sheetViews>
    <sheetView topLeftCell="A37" workbookViewId="0">
      <selection activeCell="N21" sqref="N21"/>
    </sheetView>
  </sheetViews>
  <sheetFormatPr defaultRowHeight="14.5" x14ac:dyDescent="0.35"/>
  <cols>
    <col min="1" max="1" width="39.54296875" bestFit="1" customWidth="1"/>
    <col min="2" max="13" width="15.26953125" bestFit="1" customWidth="1"/>
  </cols>
  <sheetData>
    <row r="1" spans="1:13" x14ac:dyDescent="0.35">
      <c r="B1" s="1">
        <v>45138</v>
      </c>
      <c r="C1" s="1">
        <v>45169</v>
      </c>
      <c r="D1" s="1">
        <v>45199</v>
      </c>
      <c r="E1" s="1">
        <v>45230</v>
      </c>
      <c r="F1" s="1">
        <v>45260</v>
      </c>
      <c r="G1" s="1">
        <v>45291</v>
      </c>
      <c r="H1" s="1">
        <v>45322</v>
      </c>
      <c r="I1" s="1">
        <v>45351</v>
      </c>
      <c r="J1" s="1">
        <v>45382</v>
      </c>
      <c r="K1" s="1">
        <v>45412</v>
      </c>
      <c r="L1" s="1">
        <v>45443</v>
      </c>
      <c r="M1" s="1">
        <v>45473</v>
      </c>
    </row>
    <row r="2" spans="1:13" x14ac:dyDescent="0.35">
      <c r="A2" s="30"/>
    </row>
    <row r="3" spans="1:13" x14ac:dyDescent="0.35">
      <c r="A3" s="4" t="s">
        <v>100</v>
      </c>
      <c r="C3" s="81"/>
      <c r="E3" s="81"/>
      <c r="F3" s="81"/>
      <c r="G3" s="81"/>
      <c r="J3" s="81"/>
      <c r="L3" s="81"/>
      <c r="M3" s="1"/>
    </row>
    <row r="4" spans="1:13" x14ac:dyDescent="0.35">
      <c r="A4" s="4" t="s">
        <v>26</v>
      </c>
      <c r="B4" s="81">
        <v>29468041</v>
      </c>
      <c r="C4" s="81">
        <v>30985217</v>
      </c>
      <c r="D4" s="81">
        <v>31045548</v>
      </c>
      <c r="E4" s="81">
        <v>31046999</v>
      </c>
      <c r="F4" s="81">
        <v>31037259</v>
      </c>
      <c r="G4" s="81">
        <v>37064997</v>
      </c>
      <c r="H4" s="81">
        <v>37439395</v>
      </c>
      <c r="I4" s="81">
        <v>37543282</v>
      </c>
      <c r="J4" s="81">
        <v>32767207</v>
      </c>
      <c r="K4" s="81">
        <v>32904703</v>
      </c>
      <c r="L4" s="81">
        <v>33498157</v>
      </c>
      <c r="M4" s="81">
        <f>47116450-4999684</f>
        <v>42116766</v>
      </c>
    </row>
    <row r="5" spans="1:13" x14ac:dyDescent="0.35">
      <c r="A5" s="4" t="s">
        <v>27</v>
      </c>
      <c r="B5" s="81">
        <v>326150</v>
      </c>
      <c r="C5" s="81">
        <v>320874</v>
      </c>
      <c r="D5" s="81">
        <v>217783</v>
      </c>
      <c r="E5" s="81">
        <v>212137</v>
      </c>
      <c r="F5" s="81">
        <v>209661</v>
      </c>
      <c r="G5" s="81">
        <v>209942</v>
      </c>
      <c r="H5" s="81">
        <v>249065</v>
      </c>
      <c r="I5" s="81">
        <v>236345</v>
      </c>
      <c r="J5" s="81">
        <v>5158374</v>
      </c>
      <c r="K5" s="81">
        <v>5094948</v>
      </c>
      <c r="L5" s="81">
        <v>5019172</v>
      </c>
      <c r="M5" s="81">
        <v>4999684</v>
      </c>
    </row>
    <row r="6" spans="1:13" x14ac:dyDescent="0.35">
      <c r="A6" s="5" t="s">
        <v>13</v>
      </c>
      <c r="B6" s="6">
        <f t="shared" ref="B6:M6" si="0">B4+B5</f>
        <v>29794191</v>
      </c>
      <c r="C6" s="6">
        <f t="shared" si="0"/>
        <v>31306091</v>
      </c>
      <c r="D6" s="6">
        <f t="shared" si="0"/>
        <v>31263331</v>
      </c>
      <c r="E6" s="6">
        <f t="shared" si="0"/>
        <v>31259136</v>
      </c>
      <c r="F6" s="6">
        <f t="shared" si="0"/>
        <v>31246920</v>
      </c>
      <c r="G6" s="6">
        <f t="shared" si="0"/>
        <v>37274939</v>
      </c>
      <c r="H6" s="6">
        <f t="shared" si="0"/>
        <v>37688460</v>
      </c>
      <c r="I6" s="6">
        <f t="shared" si="0"/>
        <v>37779627</v>
      </c>
      <c r="J6" s="6">
        <f t="shared" si="0"/>
        <v>37925581</v>
      </c>
      <c r="K6" s="6">
        <f t="shared" si="0"/>
        <v>37999651</v>
      </c>
      <c r="L6" s="6">
        <f t="shared" si="0"/>
        <v>38517329</v>
      </c>
      <c r="M6" s="6">
        <f t="shared" si="0"/>
        <v>47116450</v>
      </c>
    </row>
    <row r="7" spans="1:13" x14ac:dyDescent="0.35">
      <c r="E7" s="81"/>
      <c r="G7" s="81"/>
      <c r="J7" s="81"/>
      <c r="M7" s="1"/>
    </row>
    <row r="8" spans="1:13" x14ac:dyDescent="0.35">
      <c r="A8" s="5" t="s">
        <v>12</v>
      </c>
      <c r="B8" s="17">
        <f>'Assets Data'!B15</f>
        <v>6070862</v>
      </c>
      <c r="C8" s="17">
        <f>'Assets Data'!C15</f>
        <v>6070862</v>
      </c>
      <c r="D8" s="17">
        <f>'Assets Data'!D15</f>
        <v>6070862</v>
      </c>
      <c r="E8" s="17">
        <f>'Assets Data'!E15</f>
        <v>6070862</v>
      </c>
      <c r="F8" s="17">
        <f>'Assets Data'!F15</f>
        <v>6070862</v>
      </c>
      <c r="G8" s="17">
        <f>'Assets Data'!G15</f>
        <v>6070862</v>
      </c>
      <c r="H8" s="17">
        <f>'Assets Data'!H15</f>
        <v>6070862</v>
      </c>
      <c r="I8" s="17">
        <f>'Assets Data'!I15</f>
        <v>6070862</v>
      </c>
      <c r="J8" s="17">
        <f>'Assets Data'!J15</f>
        <v>6070862</v>
      </c>
      <c r="K8" s="17">
        <f>'Assets Data'!K15</f>
        <v>6070862</v>
      </c>
      <c r="L8" s="17">
        <f>'Assets Data'!L15</f>
        <v>6070862</v>
      </c>
      <c r="M8" s="17">
        <f>'Assets Data'!M15</f>
        <v>6618972</v>
      </c>
    </row>
    <row r="10" spans="1:13" x14ac:dyDescent="0.35">
      <c r="B10" s="1">
        <v>45138</v>
      </c>
      <c r="C10" s="1">
        <v>45169</v>
      </c>
      <c r="D10" s="1">
        <v>45199</v>
      </c>
      <c r="E10" s="1">
        <v>45230</v>
      </c>
      <c r="F10" s="1">
        <v>45260</v>
      </c>
      <c r="G10" s="1">
        <v>45291</v>
      </c>
      <c r="H10" s="1">
        <v>45322</v>
      </c>
      <c r="I10" s="1">
        <v>45351</v>
      </c>
      <c r="J10" s="1">
        <v>45382</v>
      </c>
      <c r="K10" s="1">
        <v>45412</v>
      </c>
      <c r="L10" s="1">
        <v>45443</v>
      </c>
      <c r="M10" s="1">
        <v>45473</v>
      </c>
    </row>
    <row r="11" spans="1:13" x14ac:dyDescent="0.35">
      <c r="A11" s="4" t="s">
        <v>100</v>
      </c>
      <c r="C11" s="81"/>
      <c r="E11" s="81"/>
      <c r="F11" s="81"/>
      <c r="G11" s="81"/>
      <c r="J11" s="81"/>
      <c r="L11" s="81"/>
      <c r="M11" s="1"/>
    </row>
    <row r="12" spans="1:13" x14ac:dyDescent="0.35">
      <c r="A12" s="4" t="s">
        <v>26</v>
      </c>
      <c r="B12" s="81">
        <f>B4</f>
        <v>29468041</v>
      </c>
      <c r="C12" s="81">
        <f t="shared" ref="C12:M12" si="1">C4</f>
        <v>30985217</v>
      </c>
      <c r="D12" s="81">
        <f t="shared" si="1"/>
        <v>31045548</v>
      </c>
      <c r="E12" s="81">
        <f t="shared" si="1"/>
        <v>31046999</v>
      </c>
      <c r="F12" s="81">
        <f t="shared" si="1"/>
        <v>31037259</v>
      </c>
      <c r="G12" s="81">
        <f t="shared" si="1"/>
        <v>37064997</v>
      </c>
      <c r="H12" s="81">
        <f t="shared" si="1"/>
        <v>37439395</v>
      </c>
      <c r="I12" s="81">
        <f t="shared" si="1"/>
        <v>37543282</v>
      </c>
      <c r="J12" s="81">
        <f t="shared" si="1"/>
        <v>32767207</v>
      </c>
      <c r="K12" s="81">
        <f t="shared" si="1"/>
        <v>32904703</v>
      </c>
      <c r="L12" s="81">
        <f t="shared" si="1"/>
        <v>33498157</v>
      </c>
      <c r="M12" s="81">
        <f t="shared" si="1"/>
        <v>42116766</v>
      </c>
    </row>
    <row r="13" spans="1:13" x14ac:dyDescent="0.35">
      <c r="A13" s="4" t="s">
        <v>27</v>
      </c>
      <c r="B13" s="81">
        <f>B5+B8</f>
        <v>6397012</v>
      </c>
      <c r="C13" s="81">
        <f t="shared" ref="C13:L13" si="2">C5+C8</f>
        <v>6391736</v>
      </c>
      <c r="D13" s="81">
        <f t="shared" si="2"/>
        <v>6288645</v>
      </c>
      <c r="E13" s="81">
        <f t="shared" si="2"/>
        <v>6282999</v>
      </c>
      <c r="F13" s="81">
        <f t="shared" si="2"/>
        <v>6280523</v>
      </c>
      <c r="G13" s="81">
        <f t="shared" si="2"/>
        <v>6280804</v>
      </c>
      <c r="H13" s="81">
        <f t="shared" si="2"/>
        <v>6319927</v>
      </c>
      <c r="I13" s="81">
        <f t="shared" si="2"/>
        <v>6307207</v>
      </c>
      <c r="J13" s="81">
        <f t="shared" si="2"/>
        <v>11229236</v>
      </c>
      <c r="K13" s="81">
        <f t="shared" si="2"/>
        <v>11165810</v>
      </c>
      <c r="L13" s="81">
        <f t="shared" si="2"/>
        <v>11090034</v>
      </c>
      <c r="M13" s="81">
        <f>M5+M8</f>
        <v>11618656</v>
      </c>
    </row>
    <row r="14" spans="1:13" x14ac:dyDescent="0.35">
      <c r="A14" s="5" t="s">
        <v>13</v>
      </c>
      <c r="B14" s="6">
        <f t="shared" ref="B14:M14" si="3">B12+B13</f>
        <v>35865053</v>
      </c>
      <c r="C14" s="6">
        <f t="shared" si="3"/>
        <v>37376953</v>
      </c>
      <c r="D14" s="6">
        <f t="shared" si="3"/>
        <v>37334193</v>
      </c>
      <c r="E14" s="6">
        <f t="shared" si="3"/>
        <v>37329998</v>
      </c>
      <c r="F14" s="6">
        <f t="shared" si="3"/>
        <v>37317782</v>
      </c>
      <c r="G14" s="6">
        <f t="shared" si="3"/>
        <v>43345801</v>
      </c>
      <c r="H14" s="6">
        <f t="shared" si="3"/>
        <v>43759322</v>
      </c>
      <c r="I14" s="6">
        <f t="shared" si="3"/>
        <v>43850489</v>
      </c>
      <c r="J14" s="6">
        <f t="shared" si="3"/>
        <v>43996443</v>
      </c>
      <c r="K14" s="6">
        <f t="shared" si="3"/>
        <v>44070513</v>
      </c>
      <c r="L14" s="6">
        <f t="shared" si="3"/>
        <v>44588191</v>
      </c>
      <c r="M14" s="6">
        <f t="shared" si="3"/>
        <v>53735422</v>
      </c>
    </row>
    <row r="16" spans="1:13" x14ac:dyDescent="0.35">
      <c r="A16" s="5" t="s">
        <v>99</v>
      </c>
      <c r="B16" s="22">
        <f>B12</f>
        <v>29468041</v>
      </c>
      <c r="C16" s="22">
        <f t="shared" ref="C16:M16" si="4">C12</f>
        <v>30985217</v>
      </c>
      <c r="D16" s="22">
        <f t="shared" si="4"/>
        <v>31045548</v>
      </c>
      <c r="E16" s="22">
        <f t="shared" si="4"/>
        <v>31046999</v>
      </c>
      <c r="F16" s="22">
        <f t="shared" si="4"/>
        <v>31037259</v>
      </c>
      <c r="G16" s="22">
        <f t="shared" si="4"/>
        <v>37064997</v>
      </c>
      <c r="H16" s="22">
        <f t="shared" si="4"/>
        <v>37439395</v>
      </c>
      <c r="I16" s="22">
        <f t="shared" si="4"/>
        <v>37543282</v>
      </c>
      <c r="J16" s="22">
        <f t="shared" si="4"/>
        <v>32767207</v>
      </c>
      <c r="K16" s="22">
        <f t="shared" si="4"/>
        <v>32904703</v>
      </c>
      <c r="L16" s="22">
        <f t="shared" si="4"/>
        <v>33498157</v>
      </c>
      <c r="M16" s="22">
        <f t="shared" si="4"/>
        <v>42116766</v>
      </c>
    </row>
    <row r="17" spans="1:13" x14ac:dyDescent="0.35">
      <c r="A17" s="30" t="s">
        <v>101</v>
      </c>
      <c r="B17" s="22">
        <f>'Assets Data'!B12</f>
        <v>14139326</v>
      </c>
      <c r="C17" s="22">
        <f>'Assets Data'!C12</f>
        <v>14117465</v>
      </c>
      <c r="D17" s="22">
        <f>'Assets Data'!D12</f>
        <v>14026928</v>
      </c>
      <c r="E17" s="22">
        <f>'Assets Data'!E12</f>
        <v>13948955</v>
      </c>
      <c r="F17" s="22">
        <f>'Assets Data'!F12</f>
        <v>13852097</v>
      </c>
      <c r="G17" s="22">
        <f>'Assets Data'!G12</f>
        <v>13929703</v>
      </c>
      <c r="H17" s="22">
        <f>'Assets Data'!H12</f>
        <v>13912610</v>
      </c>
      <c r="I17" s="22">
        <f>'Assets Data'!I12</f>
        <v>13938968</v>
      </c>
      <c r="J17" s="22">
        <f>'Assets Data'!J12</f>
        <v>14136985</v>
      </c>
      <c r="K17" s="22">
        <f>'Assets Data'!K12</f>
        <v>14610456</v>
      </c>
      <c r="L17" s="22">
        <f>'Assets Data'!L12</f>
        <v>14757209</v>
      </c>
      <c r="M17" s="22">
        <f>'Assets Data'!M12</f>
        <v>23901231</v>
      </c>
    </row>
    <row r="18" spans="1:13" x14ac:dyDescent="0.35">
      <c r="A18" s="30" t="s">
        <v>102</v>
      </c>
    </row>
    <row r="19" spans="1:13" x14ac:dyDescent="0.35">
      <c r="A19" s="30"/>
    </row>
    <row r="20" spans="1:13" x14ac:dyDescent="0.35">
      <c r="A20" s="30" t="s">
        <v>103</v>
      </c>
      <c r="B20" s="29">
        <f>B16-B17+B18</f>
        <v>15328715</v>
      </c>
      <c r="C20" s="29">
        <f t="shared" ref="C20:M20" si="5">C16-C17+C18</f>
        <v>16867752</v>
      </c>
      <c r="D20" s="29">
        <f t="shared" si="5"/>
        <v>17018620</v>
      </c>
      <c r="E20" s="29">
        <f t="shared" si="5"/>
        <v>17098044</v>
      </c>
      <c r="F20" s="29">
        <f t="shared" si="5"/>
        <v>17185162</v>
      </c>
      <c r="G20" s="29">
        <f t="shared" si="5"/>
        <v>23135294</v>
      </c>
      <c r="H20" s="29">
        <f t="shared" si="5"/>
        <v>23526785</v>
      </c>
      <c r="I20" s="29">
        <f t="shared" si="5"/>
        <v>23604314</v>
      </c>
      <c r="J20" s="29">
        <f t="shared" si="5"/>
        <v>18630222</v>
      </c>
      <c r="K20" s="29">
        <f t="shared" si="5"/>
        <v>18294247</v>
      </c>
      <c r="L20" s="29">
        <f t="shared" si="5"/>
        <v>18740948</v>
      </c>
      <c r="M20" s="29">
        <f t="shared" si="5"/>
        <v>18215535</v>
      </c>
    </row>
    <row r="21" spans="1:13" x14ac:dyDescent="0.35">
      <c r="A21" s="30" t="s">
        <v>65</v>
      </c>
      <c r="B21" s="29">
        <f>'Expenses Data Luna'!B6</f>
        <v>2589687</v>
      </c>
      <c r="C21" s="29">
        <f>'Expenses Data Luna'!C6</f>
        <v>5792130</v>
      </c>
      <c r="D21" s="29">
        <f>'Expenses Data Luna'!D6</f>
        <v>9418897</v>
      </c>
      <c r="E21" s="29">
        <f>'Expenses Data Luna'!E6</f>
        <v>12978093</v>
      </c>
      <c r="F21" s="29">
        <f>'Expenses Data Luna'!F6</f>
        <v>16640414</v>
      </c>
      <c r="G21" s="29">
        <f>'Expenses Data Luna'!G6</f>
        <v>20237998</v>
      </c>
      <c r="H21" s="29">
        <f>'Expenses Data Luna'!H6</f>
        <v>23896553.999999996</v>
      </c>
      <c r="I21" s="29">
        <f>'Expenses Data Luna'!I6</f>
        <v>27535405</v>
      </c>
      <c r="J21" s="29">
        <f>'Expenses Data Luna'!J6</f>
        <v>31236652</v>
      </c>
      <c r="K21" s="29">
        <f>'Expenses Data Luna'!K6</f>
        <v>35034259</v>
      </c>
      <c r="L21" s="29">
        <f>'Expenses Data Luna'!L6</f>
        <v>38719066</v>
      </c>
      <c r="M21" s="29">
        <f>'Expenses Data Luna'!M6</f>
        <v>43524669</v>
      </c>
    </row>
    <row r="22" spans="1:13" x14ac:dyDescent="0.35">
      <c r="A22" s="30" t="s">
        <v>104</v>
      </c>
      <c r="B22">
        <v>1</v>
      </c>
      <c r="C22">
        <v>2</v>
      </c>
      <c r="D22">
        <v>3</v>
      </c>
      <c r="E22">
        <v>4</v>
      </c>
      <c r="F22">
        <v>5</v>
      </c>
      <c r="G22">
        <v>6</v>
      </c>
      <c r="H22">
        <v>7</v>
      </c>
      <c r="I22">
        <v>8</v>
      </c>
      <c r="J22">
        <v>9</v>
      </c>
      <c r="K22">
        <v>10</v>
      </c>
      <c r="L22">
        <v>11</v>
      </c>
      <c r="M22">
        <v>12</v>
      </c>
    </row>
    <row r="23" spans="1:13" x14ac:dyDescent="0.35">
      <c r="A23" s="30" t="s">
        <v>105</v>
      </c>
      <c r="B23" s="29">
        <f>B21/B22</f>
        <v>2589687</v>
      </c>
      <c r="C23" s="29">
        <f t="shared" ref="C23:M23" si="6">C21/C22</f>
        <v>2896065</v>
      </c>
      <c r="D23" s="29">
        <f t="shared" si="6"/>
        <v>3139632.3333333335</v>
      </c>
      <c r="E23" s="29">
        <f t="shared" si="6"/>
        <v>3244523.25</v>
      </c>
      <c r="F23" s="29">
        <f t="shared" si="6"/>
        <v>3328082.8</v>
      </c>
      <c r="G23" s="29">
        <f t="shared" si="6"/>
        <v>3372999.6666666665</v>
      </c>
      <c r="H23" s="29">
        <f t="shared" si="6"/>
        <v>3413793.4285714282</v>
      </c>
      <c r="I23" s="29">
        <f t="shared" si="6"/>
        <v>3441925.625</v>
      </c>
      <c r="J23" s="29">
        <f t="shared" si="6"/>
        <v>3470739.111111111</v>
      </c>
      <c r="K23" s="29">
        <f t="shared" si="6"/>
        <v>3503425.9</v>
      </c>
      <c r="L23" s="29">
        <f t="shared" si="6"/>
        <v>3519915.0909090908</v>
      </c>
      <c r="M23" s="29">
        <f t="shared" si="6"/>
        <v>3627055.75</v>
      </c>
    </row>
    <row r="25" spans="1:13" x14ac:dyDescent="0.35">
      <c r="A25" s="30" t="s">
        <v>95</v>
      </c>
      <c r="B25" s="1">
        <v>45138</v>
      </c>
      <c r="C25" s="1">
        <v>45169</v>
      </c>
      <c r="D25" s="1">
        <v>45199</v>
      </c>
      <c r="E25" s="1">
        <v>45230</v>
      </c>
      <c r="F25" s="1">
        <v>45260</v>
      </c>
      <c r="G25" s="1">
        <v>45291</v>
      </c>
      <c r="H25" s="1">
        <v>45322</v>
      </c>
      <c r="I25" s="1">
        <v>45351</v>
      </c>
      <c r="J25" s="1">
        <v>45382</v>
      </c>
      <c r="K25" s="1">
        <v>45412</v>
      </c>
      <c r="L25" s="1">
        <v>45443</v>
      </c>
      <c r="M25" s="1">
        <v>45473</v>
      </c>
    </row>
    <row r="26" spans="1:13" x14ac:dyDescent="0.35">
      <c r="A26" s="84" t="s">
        <v>106</v>
      </c>
      <c r="B26" s="31">
        <f>B20/B23</f>
        <v>5.9191381043346167</v>
      </c>
      <c r="C26" s="31">
        <f t="shared" ref="C26:M26" si="7">C20/C23</f>
        <v>5.8243692734797046</v>
      </c>
      <c r="D26" s="31">
        <f t="shared" si="7"/>
        <v>5.4205773775846575</v>
      </c>
      <c r="E26" s="31">
        <f t="shared" si="7"/>
        <v>5.2698170678850893</v>
      </c>
      <c r="F26" s="31">
        <f t="shared" si="7"/>
        <v>5.1636822256946253</v>
      </c>
      <c r="G26" s="31">
        <f t="shared" si="7"/>
        <v>6.8589671764964111</v>
      </c>
      <c r="H26" s="31">
        <f t="shared" si="7"/>
        <v>6.8916838385986541</v>
      </c>
      <c r="I26" s="31">
        <f t="shared" si="7"/>
        <v>6.8578803180850256</v>
      </c>
      <c r="J26" s="31">
        <f t="shared" si="7"/>
        <v>5.367796715217751</v>
      </c>
      <c r="K26" s="31">
        <f t="shared" si="7"/>
        <v>5.2218164511485741</v>
      </c>
      <c r="L26" s="31">
        <f t="shared" si="7"/>
        <v>5.3242613858505781</v>
      </c>
      <c r="M26" s="31">
        <f t="shared" si="7"/>
        <v>5.0221271068138389</v>
      </c>
    </row>
    <row r="43" spans="1:13" ht="15" thickBot="1" x14ac:dyDescent="0.4"/>
    <row r="44" spans="1:13" x14ac:dyDescent="0.35">
      <c r="A44" s="85" t="s">
        <v>109</v>
      </c>
      <c r="B44" s="86">
        <f>'Cash Analysis'!B24+'Cash Analysis'!B26</f>
        <v>12407618</v>
      </c>
      <c r="C44" s="86">
        <f>'Cash Analysis'!C24+'Cash Analysis'!C26</f>
        <v>14671238</v>
      </c>
      <c r="D44" s="86">
        <f>'Cash Analysis'!D24+'Cash Analysis'!D26</f>
        <v>14574872</v>
      </c>
      <c r="E44" s="86">
        <f>'Cash Analysis'!E24+'Cash Analysis'!E26</f>
        <v>13836716</v>
      </c>
      <c r="F44" s="86">
        <f>'Cash Analysis'!F24+'Cash Analysis'!F26</f>
        <v>13806752</v>
      </c>
      <c r="G44" s="86">
        <f>'Cash Analysis'!G24+'Cash Analysis'!G26</f>
        <v>15330590</v>
      </c>
      <c r="H44" s="86">
        <f>'Cash Analysis'!H24+'Cash Analysis'!H26</f>
        <v>14004767.4</v>
      </c>
      <c r="I44" s="86">
        <f>'Cash Analysis'!I24+'Cash Analysis'!I26</f>
        <v>15795640.370000001</v>
      </c>
      <c r="J44" s="86">
        <f>'Cash Analysis'!J24+'Cash Analysis'!J26</f>
        <v>15022721.41</v>
      </c>
      <c r="K44" s="86">
        <f>'Cash Analysis'!K24+'Cash Analysis'!K26</f>
        <v>13482771.310000001</v>
      </c>
      <c r="L44" s="86">
        <f>'Cash Analysis'!L24+'Cash Analysis'!L26</f>
        <v>14302503.609999999</v>
      </c>
      <c r="M44" s="87">
        <f>'Cash Analysis'!M24+'Cash Analysis'!M26</f>
        <v>14383905.91</v>
      </c>
    </row>
    <row r="45" spans="1:13" x14ac:dyDescent="0.35">
      <c r="A45" s="88" t="s">
        <v>105</v>
      </c>
      <c r="B45" s="22">
        <f>B23</f>
        <v>2589687</v>
      </c>
      <c r="C45" s="22">
        <f t="shared" ref="C45:M45" si="8">C23</f>
        <v>2896065</v>
      </c>
      <c r="D45" s="22">
        <f t="shared" si="8"/>
        <v>3139632.3333333335</v>
      </c>
      <c r="E45" s="22">
        <f t="shared" si="8"/>
        <v>3244523.25</v>
      </c>
      <c r="F45" s="22">
        <f t="shared" si="8"/>
        <v>3328082.8</v>
      </c>
      <c r="G45" s="22">
        <f t="shared" si="8"/>
        <v>3372999.6666666665</v>
      </c>
      <c r="H45" s="22">
        <f t="shared" si="8"/>
        <v>3413793.4285714282</v>
      </c>
      <c r="I45" s="22">
        <f t="shared" si="8"/>
        <v>3441925.625</v>
      </c>
      <c r="J45" s="22">
        <f t="shared" si="8"/>
        <v>3470739.111111111</v>
      </c>
      <c r="K45" s="22">
        <f t="shared" si="8"/>
        <v>3503425.9</v>
      </c>
      <c r="L45" s="22">
        <f t="shared" si="8"/>
        <v>3519915.0909090908</v>
      </c>
      <c r="M45" s="89">
        <f t="shared" si="8"/>
        <v>3627055.75</v>
      </c>
    </row>
    <row r="46" spans="1:13" ht="15" thickBot="1" x14ac:dyDescent="0.4">
      <c r="A46" s="72" t="s">
        <v>109</v>
      </c>
      <c r="B46" s="90">
        <f>B44/B45</f>
        <v>4.7911651099148278</v>
      </c>
      <c r="C46" s="90">
        <f t="shared" ref="C46:M46" si="9">C44/C45</f>
        <v>5.0659215176454948</v>
      </c>
      <c r="D46" s="90">
        <f t="shared" si="9"/>
        <v>4.6422225447417036</v>
      </c>
      <c r="E46" s="90">
        <f t="shared" si="9"/>
        <v>4.2646376474571417</v>
      </c>
      <c r="F46" s="90">
        <f t="shared" si="9"/>
        <v>4.148560246157337</v>
      </c>
      <c r="G46" s="90">
        <f t="shared" si="9"/>
        <v>4.5450908731189719</v>
      </c>
      <c r="H46" s="90">
        <f t="shared" si="9"/>
        <v>4.1024062214158583</v>
      </c>
      <c r="I46" s="90">
        <f t="shared" si="9"/>
        <v>4.5891870106867874</v>
      </c>
      <c r="J46" s="90">
        <f t="shared" si="9"/>
        <v>4.3283925783723562</v>
      </c>
      <c r="K46" s="90">
        <f t="shared" si="9"/>
        <v>3.8484533981437998</v>
      </c>
      <c r="L46" s="90">
        <f t="shared" si="9"/>
        <v>4.0633092675840885</v>
      </c>
      <c r="M46" s="91">
        <f t="shared" si="9"/>
        <v>3.9657250677770808</v>
      </c>
    </row>
    <row r="48" spans="1:13" x14ac:dyDescent="0.35">
      <c r="B48" s="1">
        <v>45138</v>
      </c>
      <c r="C48" s="1">
        <v>45169</v>
      </c>
      <c r="D48" s="1">
        <v>45199</v>
      </c>
      <c r="E48" s="1">
        <v>45230</v>
      </c>
      <c r="F48" s="1">
        <v>45260</v>
      </c>
      <c r="G48" s="1">
        <v>45291</v>
      </c>
      <c r="H48" s="1">
        <v>45322</v>
      </c>
      <c r="I48" s="1">
        <v>45351</v>
      </c>
      <c r="J48" s="1">
        <v>45382</v>
      </c>
      <c r="K48" s="1">
        <v>45412</v>
      </c>
      <c r="L48" s="1">
        <v>45443</v>
      </c>
      <c r="M48" s="1">
        <v>45473</v>
      </c>
    </row>
    <row r="49" spans="1:13" ht="15" thickBot="1" x14ac:dyDescent="0.4">
      <c r="A49" s="72" t="s">
        <v>109</v>
      </c>
      <c r="B49" s="33">
        <f>B46</f>
        <v>4.7911651099148278</v>
      </c>
      <c r="C49" s="33">
        <f t="shared" ref="C49:M49" si="10">C46</f>
        <v>5.0659215176454948</v>
      </c>
      <c r="D49" s="33">
        <f t="shared" si="10"/>
        <v>4.6422225447417036</v>
      </c>
      <c r="E49" s="33">
        <f t="shared" si="10"/>
        <v>4.2646376474571417</v>
      </c>
      <c r="F49" s="33">
        <f t="shared" si="10"/>
        <v>4.148560246157337</v>
      </c>
      <c r="G49" s="33">
        <f t="shared" si="10"/>
        <v>4.5450908731189719</v>
      </c>
      <c r="H49" s="33">
        <f t="shared" si="10"/>
        <v>4.1024062214158583</v>
      </c>
      <c r="I49" s="33">
        <f t="shared" si="10"/>
        <v>4.5891870106867874</v>
      </c>
      <c r="J49" s="33">
        <f t="shared" si="10"/>
        <v>4.3283925783723562</v>
      </c>
      <c r="K49" s="33">
        <f t="shared" si="10"/>
        <v>3.8484533981437998</v>
      </c>
      <c r="L49" s="33">
        <f t="shared" si="10"/>
        <v>4.0633092675840885</v>
      </c>
      <c r="M49" s="33">
        <f t="shared" si="10"/>
        <v>3.9657250677770808</v>
      </c>
    </row>
  </sheetData>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4D17C-3FCD-46F6-B3C7-A199EC92FA07}">
  <dimension ref="A1:J27"/>
  <sheetViews>
    <sheetView workbookViewId="0">
      <selection activeCell="M12" sqref="M12"/>
    </sheetView>
  </sheetViews>
  <sheetFormatPr defaultRowHeight="14.5" x14ac:dyDescent="0.35"/>
  <cols>
    <col min="1" max="1" width="10.453125" bestFit="1" customWidth="1"/>
    <col min="2" max="2" width="27.26953125" bestFit="1" customWidth="1"/>
    <col min="3" max="3" width="16.7265625" bestFit="1" customWidth="1"/>
    <col min="4" max="4" width="15.7265625" bestFit="1" customWidth="1"/>
    <col min="5" max="5" width="17.81640625" bestFit="1" customWidth="1"/>
    <col min="6" max="7" width="15.26953125" bestFit="1" customWidth="1"/>
    <col min="8" max="8" width="18.26953125" bestFit="1" customWidth="1"/>
    <col min="9" max="9" width="14.26953125" bestFit="1" customWidth="1"/>
    <col min="10" max="10" width="26.26953125" bestFit="1" customWidth="1"/>
  </cols>
  <sheetData>
    <row r="1" spans="1:10" x14ac:dyDescent="0.35">
      <c r="A1" s="84" t="s">
        <v>118</v>
      </c>
      <c r="B1" s="84" t="s">
        <v>31</v>
      </c>
      <c r="C1" s="84" t="s">
        <v>114</v>
      </c>
      <c r="D1" s="84" t="s">
        <v>115</v>
      </c>
      <c r="E1" s="84" t="s">
        <v>116</v>
      </c>
      <c r="F1" s="84" t="s">
        <v>117</v>
      </c>
      <c r="G1" s="84" t="s">
        <v>119</v>
      </c>
      <c r="H1" s="97" t="s">
        <v>120</v>
      </c>
      <c r="I1" s="97" t="s">
        <v>121</v>
      </c>
      <c r="J1" s="97" t="s">
        <v>109</v>
      </c>
    </row>
    <row r="2" spans="1:10" x14ac:dyDescent="0.35">
      <c r="A2" s="95">
        <v>45138</v>
      </c>
      <c r="B2" s="76">
        <f>'Cash Analysis'!B25</f>
        <v>326150</v>
      </c>
      <c r="C2" s="94">
        <f>'Cash Analysis'!B24</f>
        <v>9389045</v>
      </c>
      <c r="D2" s="94">
        <f>'Cash Analysis'!B$27</f>
        <v>0</v>
      </c>
      <c r="E2" s="94">
        <f>'Cash Analysis'!B$26</f>
        <v>3018573</v>
      </c>
      <c r="F2" s="94">
        <f>SUM(B2:E2)</f>
        <v>12733768</v>
      </c>
      <c r="G2" s="76">
        <f>GETPIVOTDATA("7/31/23",'Cash PV'!$A$3)</f>
        <v>12733768</v>
      </c>
      <c r="H2" s="98">
        <f>IF(G2&lt;=B2,0,IF(G2&gt;=C2+E2,C2+E2,IF(G2=D2+B2+C2,C2,IF(G2=E2+B2,E2,IF(G2=E2,E2,IF(G2=C2,C2))))))</f>
        <v>12407618</v>
      </c>
      <c r="I2" s="96">
        <f>'Luna Analysis'!B$23</f>
        <v>2589687</v>
      </c>
      <c r="J2" s="98">
        <f>H2/I2</f>
        <v>4.7911651099148278</v>
      </c>
    </row>
    <row r="3" spans="1:10" x14ac:dyDescent="0.35">
      <c r="A3" s="95">
        <v>45169</v>
      </c>
      <c r="B3" s="76">
        <f>'Cash Analysis'!C25</f>
        <v>320874</v>
      </c>
      <c r="C3" s="94">
        <f>'Cash Analysis'!C$24</f>
        <v>11652665</v>
      </c>
      <c r="D3" s="94">
        <f>'Cash Analysis'!C$27</f>
        <v>0</v>
      </c>
      <c r="E3" s="94">
        <f>'Cash Analysis'!C$26</f>
        <v>3018573</v>
      </c>
      <c r="F3" s="94">
        <f t="shared" ref="F3:F13" si="0">SUM(B3:E3)</f>
        <v>14992112</v>
      </c>
      <c r="G3" s="76">
        <f>GETPIVOTDATA("8/31/23",'Cash PV'!$A$3)</f>
        <v>14992112</v>
      </c>
      <c r="H3" s="98">
        <f t="shared" ref="H3:H6" si="1">IF(G3&lt;=B3,0,IF(G3&gt;=C3+E3,C3+E3,IF(G3=D3+B3+C3,C3,IF(G3=E3+B3,E3,IF(G3=E3,E3,IF(G3=C3,C3))))))</f>
        <v>14671238</v>
      </c>
      <c r="I3" s="96">
        <f>'Luna Analysis'!C$23</f>
        <v>2896065</v>
      </c>
      <c r="J3" s="98">
        <f t="shared" ref="J3:J13" si="2">H3/I3</f>
        <v>5.0659215176454948</v>
      </c>
    </row>
    <row r="4" spans="1:10" x14ac:dyDescent="0.35">
      <c r="A4" s="95">
        <v>45199</v>
      </c>
      <c r="B4" s="76">
        <f>'Cash Analysis'!D25</f>
        <v>217783</v>
      </c>
      <c r="C4" s="94">
        <f>'Cash Analysis'!D$24</f>
        <v>9901827</v>
      </c>
      <c r="D4" s="94">
        <f>'Cash Analysis'!D$27</f>
        <v>0</v>
      </c>
      <c r="E4" s="94">
        <f>'Cash Analysis'!D$26</f>
        <v>4673045</v>
      </c>
      <c r="F4" s="94">
        <f t="shared" si="0"/>
        <v>14792655</v>
      </c>
      <c r="G4" s="76">
        <f>GETPIVOTDATA("9/30/23",'Cash PV'!$A$3)</f>
        <v>14792655</v>
      </c>
      <c r="H4" s="98">
        <f t="shared" si="1"/>
        <v>14574872</v>
      </c>
      <c r="I4" s="96">
        <f>'Luna Analysis'!D$23</f>
        <v>3139632.3333333335</v>
      </c>
      <c r="J4" s="98">
        <f t="shared" si="2"/>
        <v>4.6422225447417036</v>
      </c>
    </row>
    <row r="5" spans="1:10" x14ac:dyDescent="0.35">
      <c r="A5" s="95">
        <v>45230</v>
      </c>
      <c r="B5" s="76">
        <f>'Cash Analysis'!E25</f>
        <v>212137</v>
      </c>
      <c r="C5" s="94">
        <f>'Cash Analysis'!E$24</f>
        <v>9163671</v>
      </c>
      <c r="D5" s="94">
        <f>'Cash Analysis'!E$27</f>
        <v>0</v>
      </c>
      <c r="E5" s="94">
        <f>'Cash Analysis'!E$26</f>
        <v>4673045</v>
      </c>
      <c r="F5" s="94">
        <f t="shared" si="0"/>
        <v>14048853</v>
      </c>
      <c r="G5" s="76">
        <f>GETPIVOTDATA("10/31/23",'Cash PV'!$A$3)</f>
        <v>14048853</v>
      </c>
      <c r="H5" s="98">
        <f t="shared" si="1"/>
        <v>13836716</v>
      </c>
      <c r="I5" s="96">
        <f>'Luna Analysis'!E$23</f>
        <v>3244523.25</v>
      </c>
      <c r="J5" s="98">
        <f t="shared" si="2"/>
        <v>4.2646376474571417</v>
      </c>
    </row>
    <row r="6" spans="1:10" x14ac:dyDescent="0.35">
      <c r="A6" s="95">
        <v>45260</v>
      </c>
      <c r="B6" s="76">
        <f>'Cash Analysis'!F25</f>
        <v>209661</v>
      </c>
      <c r="C6" s="94">
        <f>'Cash Analysis'!F$24</f>
        <v>9133707</v>
      </c>
      <c r="D6" s="94">
        <f>'Cash Analysis'!F$27</f>
        <v>0</v>
      </c>
      <c r="E6" s="94">
        <f>'Cash Analysis'!F$26</f>
        <v>4673045</v>
      </c>
      <c r="F6" s="94">
        <f t="shared" si="0"/>
        <v>14016413</v>
      </c>
      <c r="G6" s="76">
        <f>GETPIVOTDATA("11/30/23",'Cash PV'!$A$3)</f>
        <v>14016413</v>
      </c>
      <c r="H6" s="98">
        <f t="shared" si="1"/>
        <v>13806752</v>
      </c>
      <c r="I6" s="96">
        <f>'Luna Analysis'!F$23</f>
        <v>3328082.8</v>
      </c>
      <c r="J6" s="98">
        <f t="shared" si="2"/>
        <v>4.148560246157337</v>
      </c>
    </row>
    <row r="7" spans="1:10" x14ac:dyDescent="0.35">
      <c r="A7" s="95">
        <v>45291</v>
      </c>
      <c r="B7" s="76">
        <f>'Cash Analysis'!G25</f>
        <v>5209942</v>
      </c>
      <c r="C7" s="94">
        <f>'Cash Analysis'!G$24</f>
        <v>10630931</v>
      </c>
      <c r="D7" s="94">
        <f>'Cash Analysis'!G$27</f>
        <v>0</v>
      </c>
      <c r="E7" s="94">
        <f>'Cash Analysis'!G$26</f>
        <v>4699659</v>
      </c>
      <c r="F7" s="94">
        <f t="shared" si="0"/>
        <v>20540532</v>
      </c>
      <c r="G7" s="76">
        <f>GETPIVOTDATA("12/31/23",'Cash PV'!$A$3)</f>
        <v>20540532</v>
      </c>
      <c r="H7" s="98">
        <f>IF(G7=C7+B7,C7,IF(G7&gt;=E7+C7,E7+C7,IF(G7=B7,0,IF(G7=B7+C7,C7,IF(G7=B7+D7,0,IF(G7=B7+E7,E7,IF(G7=E7,E7,IF(G7=C7,C7,IF(G7=D7,0)))))))))</f>
        <v>15330590</v>
      </c>
      <c r="I7" s="96">
        <f>'Luna Analysis'!G$23</f>
        <v>3372999.6666666665</v>
      </c>
      <c r="J7" s="98">
        <f t="shared" si="2"/>
        <v>4.5450908731189719</v>
      </c>
    </row>
    <row r="8" spans="1:10" x14ac:dyDescent="0.35">
      <c r="A8" s="95">
        <v>45322</v>
      </c>
      <c r="B8" s="76">
        <f>'Cash Analysis'!H25</f>
        <v>249065</v>
      </c>
      <c r="C8" s="94">
        <f>'Cash Analysis'!H$24</f>
        <v>9283740</v>
      </c>
      <c r="D8" s="94">
        <f>'Cash Analysis'!H$27</f>
        <v>4978631.5999999996</v>
      </c>
      <c r="E8" s="96">
        <f>'Cash Analysis'!H$26</f>
        <v>4721027.4000000004</v>
      </c>
      <c r="F8" s="94">
        <f t="shared" si="0"/>
        <v>19232464</v>
      </c>
      <c r="G8" s="76">
        <f>GETPIVOTDATA("1/31/24",'Cash PV'!$A$3)</f>
        <v>19232464</v>
      </c>
      <c r="H8" s="98">
        <f>IF(G8=E8,E8,IF(G8=C8,C8,IF(G8=E8+B8,E8,IF(G8=D8+B8+C8,C8,IF(G8=B8+C8,C8,IF(G8=E8+D8+B8,E8,IF(G8&lt;E8,0,IF(G8=D8,0,IF(G8=D8+B8,0,IF(G8=D8+C8,C8,IF(G8=D8+E8,E8,IF(G8&gt;=E8+C8,C8+E8))))))))))))</f>
        <v>14004767.4</v>
      </c>
      <c r="I8" s="96">
        <f>'Luna Analysis'!H$23</f>
        <v>3413793.4285714282</v>
      </c>
      <c r="J8" s="98">
        <f t="shared" si="2"/>
        <v>4.1024062214158583</v>
      </c>
    </row>
    <row r="9" spans="1:10" x14ac:dyDescent="0.35">
      <c r="A9" s="95">
        <v>45351</v>
      </c>
      <c r="B9" s="76">
        <f>'Cash Analysis'!I25</f>
        <v>236345</v>
      </c>
      <c r="C9" s="94">
        <f>'Cash Analysis'!I$24</f>
        <v>11054535</v>
      </c>
      <c r="D9" s="94">
        <f>'Cash Analysis'!I$27</f>
        <v>4958553.63</v>
      </c>
      <c r="E9" s="96">
        <f>'Cash Analysis'!I$26</f>
        <v>4741105.37</v>
      </c>
      <c r="F9" s="94">
        <f t="shared" si="0"/>
        <v>20990539</v>
      </c>
      <c r="G9" s="76">
        <f>GETPIVOTDATA("2/29/24",'Cash PV'!$A$3)</f>
        <v>20990539</v>
      </c>
      <c r="H9" s="98">
        <f>IF(G9=E9,E9,IF(G9=C9,C9,IF(G9=E9+B9,E9,IF(G9=D9+B9+C9,C9,IF(G9=B9+C9,C9,IF(G9=E9+D9+B9,E9,IF(G9&lt;E9,0,IF(G9=D9,0,IF(G9=D9+B9,0,IF(G9=D9+C9,C9,IF(G9=D9+E9,E9,IF(G9&gt;=E9+C9,C9+E9))))))))))))</f>
        <v>15795640.370000001</v>
      </c>
      <c r="I9" s="96">
        <f>'Luna Analysis'!I$23</f>
        <v>3441925.625</v>
      </c>
      <c r="J9" s="98">
        <f t="shared" si="2"/>
        <v>4.5891870106867874</v>
      </c>
    </row>
    <row r="10" spans="1:10" x14ac:dyDescent="0.35">
      <c r="A10" s="95">
        <v>45382</v>
      </c>
      <c r="B10" s="76">
        <f>'Cash Analysis'!J25</f>
        <v>224984</v>
      </c>
      <c r="C10" s="94">
        <f>'Cash Analysis'!J$24</f>
        <v>10207293</v>
      </c>
      <c r="D10" s="94">
        <f>'Cash Analysis'!J$27</f>
        <v>4940916.59</v>
      </c>
      <c r="E10" s="96">
        <f>'Cash Analysis'!J$26</f>
        <v>4815428.41</v>
      </c>
      <c r="F10" s="94">
        <f t="shared" si="0"/>
        <v>20188622</v>
      </c>
      <c r="G10" s="76">
        <f>GETPIVOTDATA("3/31/24",'Cash PV'!$A$3)</f>
        <v>20188622</v>
      </c>
      <c r="H10" s="98">
        <f>IF(G10=E10,E10,IF(G10=C10,C10,IF(G10=E10+B10,E10,IF(G10=D10+B10+C10,C10,IF(G10=B10+C10,C10,IF(G10=E10+D10+B10,E10,IF(G10&lt;E10,0,IF(G10=D10,0,IF(G10=D10+B10,0,IF(G10=D10+C10,C10,IF(G10=D10+E10,E10,IF(G10&gt;=E10+C10,C10+E10))))))))))))</f>
        <v>15022721.41</v>
      </c>
      <c r="I10" s="96">
        <f>'Luna Analysis'!J$23</f>
        <v>3470739.111111111</v>
      </c>
      <c r="J10" s="98">
        <f t="shared" si="2"/>
        <v>4.3283925783723562</v>
      </c>
    </row>
    <row r="11" spans="1:10" x14ac:dyDescent="0.35">
      <c r="A11" s="95">
        <v>45412</v>
      </c>
      <c r="B11" s="76">
        <f>'Cash Analysis'!K25</f>
        <v>207127</v>
      </c>
      <c r="C11" s="94">
        <f>'Cash Analysis'!K$24</f>
        <v>7623219</v>
      </c>
      <c r="D11" s="94">
        <f>'Cash Analysis'!K$27</f>
        <v>4896792.6899999995</v>
      </c>
      <c r="E11" s="94">
        <f>'Cash Analysis'!K$26</f>
        <v>5859552.3100000005</v>
      </c>
      <c r="F11" s="94">
        <f t="shared" si="0"/>
        <v>18586691</v>
      </c>
      <c r="G11" s="76">
        <f>GETPIVOTDATA("4/30/24",'Cash PV'!$A$3)</f>
        <v>18586691</v>
      </c>
      <c r="H11" s="98">
        <f>IF(G11&lt;=D11,0,IF(G11=C11,C11,IF(G11=D11+B11,0,IF(G11=D11+B11+C11,C11,IF(G11=C11+D11,C11,IF(G11=C11+B11,C11,IF(G11&gt;=C11+E11,E11+C11,IF(G11=E11,E11,IF(G11=E11+D11,E11,IF(G11=E11+B11,E11,IF(G11=E11+D11+B11,E11)))))))))))</f>
        <v>13482771.310000001</v>
      </c>
      <c r="I11" s="96">
        <f>'Luna Analysis'!K$23</f>
        <v>3503425.9</v>
      </c>
      <c r="J11" s="98">
        <f t="shared" si="2"/>
        <v>3.8484533981437998</v>
      </c>
    </row>
    <row r="12" spans="1:10" x14ac:dyDescent="0.35">
      <c r="A12" s="95">
        <v>45443</v>
      </c>
      <c r="B12" s="76">
        <f>'Cash Analysis'!L25</f>
        <v>195160</v>
      </c>
      <c r="C12" s="94">
        <f>'Cash Analysis'!L$24</f>
        <v>8381555</v>
      </c>
      <c r="D12" s="94">
        <f>'Cash Analysis'!L$27</f>
        <v>4835396.3899999997</v>
      </c>
      <c r="E12" s="94">
        <f>'Cash Analysis'!L$26</f>
        <v>5920948.6100000003</v>
      </c>
      <c r="F12" s="94">
        <f t="shared" si="0"/>
        <v>19333060</v>
      </c>
      <c r="G12" s="76">
        <f>GETPIVOTDATA("5/31/24",'Cash PV'!$A$3)</f>
        <v>19333060</v>
      </c>
      <c r="H12" s="98">
        <f>IF(G12&lt;=D12,0,IF(G12=C12,C12,IF(G12=D12+B12,0,IF(G12=D12+B12+C12,C12,IF(G12=C12+D12,C12,IF(G12=C12+B12,C12,IF(G12&gt;=C12+E12,E12+C12,IF(G12=E12,E12,IF(G12=E12+D12,E12,IF(G12=E12+B12,E12,IF(G12=E12+D12+B12,E12)))))))))))</f>
        <v>14302503.609999999</v>
      </c>
      <c r="I12" s="96">
        <f>'Luna Analysis'!L$23</f>
        <v>3519915.0909090908</v>
      </c>
      <c r="J12" s="98">
        <f t="shared" si="2"/>
        <v>4.0633092675840885</v>
      </c>
    </row>
    <row r="13" spans="1:10" x14ac:dyDescent="0.35">
      <c r="A13" s="95">
        <v>45473</v>
      </c>
      <c r="B13" s="76">
        <f>'Cash Analysis'!M25</f>
        <v>186789.48</v>
      </c>
      <c r="C13" s="94">
        <f>'Cash Analysis'!M$24</f>
        <v>8375495.5199999996</v>
      </c>
      <c r="D13" s="94">
        <f>'Cash Analysis'!M$27</f>
        <v>4812894.6099999994</v>
      </c>
      <c r="E13" s="94">
        <f>'Cash Analysis'!M$26</f>
        <v>6008410.3900000006</v>
      </c>
      <c r="F13" s="94">
        <f t="shared" si="0"/>
        <v>19383590</v>
      </c>
      <c r="G13" s="76">
        <f>GETPIVOTDATA("6/30/24",'Cash PV'!$A$3)</f>
        <v>19383590</v>
      </c>
      <c r="H13" s="98">
        <f>IF(G13&lt;=D13,0,IF(G13=C13,C13,IF(G13=D13+B13,0,IF(G13=D13+B13+C13,C13,IF(G13=C13+D13,C13,IF(G13=C13+B13,C13,IF(G13&gt;=C13+E13,E13+C13,IF(G13=E13,E13,IF(G13=E13+D13,E13,IF(G13=E13+B13,E13,IF(G13=E13+D13+B13,E13)))))))))))</f>
        <v>14383905.91</v>
      </c>
      <c r="I13" s="96">
        <f>'Luna Analysis'!M$23</f>
        <v>3627055.75</v>
      </c>
      <c r="J13" s="98">
        <f t="shared" si="2"/>
        <v>3.9657250677770808</v>
      </c>
    </row>
    <row r="14" spans="1:10" x14ac:dyDescent="0.35">
      <c r="A14" s="93"/>
      <c r="B14" s="93"/>
      <c r="C14" s="22"/>
      <c r="E14" s="22"/>
      <c r="H14" s="33"/>
    </row>
    <row r="15" spans="1:10" x14ac:dyDescent="0.35">
      <c r="A15" s="93" t="s">
        <v>118</v>
      </c>
      <c r="B15" s="97" t="s">
        <v>109</v>
      </c>
      <c r="C15" s="22"/>
      <c r="E15" s="22"/>
      <c r="H15" s="33"/>
    </row>
    <row r="16" spans="1:10" x14ac:dyDescent="0.35">
      <c r="A16" s="95">
        <v>45138</v>
      </c>
      <c r="B16" s="79">
        <f>J2</f>
        <v>4.7911651099148278</v>
      </c>
      <c r="H16" s="33"/>
    </row>
    <row r="17" spans="1:2" x14ac:dyDescent="0.35">
      <c r="A17" s="95">
        <v>45169</v>
      </c>
      <c r="B17" s="79">
        <f t="shared" ref="B17:B27" si="3">J3</f>
        <v>5.0659215176454948</v>
      </c>
    </row>
    <row r="18" spans="1:2" x14ac:dyDescent="0.35">
      <c r="A18" s="95">
        <v>45199</v>
      </c>
      <c r="B18" s="79">
        <f t="shared" si="3"/>
        <v>4.6422225447417036</v>
      </c>
    </row>
    <row r="19" spans="1:2" x14ac:dyDescent="0.35">
      <c r="A19" s="95">
        <v>45230</v>
      </c>
      <c r="B19" s="79">
        <f t="shared" si="3"/>
        <v>4.2646376474571417</v>
      </c>
    </row>
    <row r="20" spans="1:2" x14ac:dyDescent="0.35">
      <c r="A20" s="95">
        <v>45260</v>
      </c>
      <c r="B20" s="79">
        <f t="shared" si="3"/>
        <v>4.148560246157337</v>
      </c>
    </row>
    <row r="21" spans="1:2" x14ac:dyDescent="0.35">
      <c r="A21" s="95">
        <v>45291</v>
      </c>
      <c r="B21" s="79">
        <f t="shared" si="3"/>
        <v>4.5450908731189719</v>
      </c>
    </row>
    <row r="22" spans="1:2" x14ac:dyDescent="0.35">
      <c r="A22" s="95">
        <v>45322</v>
      </c>
      <c r="B22" s="79">
        <f t="shared" si="3"/>
        <v>4.1024062214158583</v>
      </c>
    </row>
    <row r="23" spans="1:2" x14ac:dyDescent="0.35">
      <c r="A23" s="95">
        <v>45351</v>
      </c>
      <c r="B23" s="79">
        <f t="shared" si="3"/>
        <v>4.5891870106867874</v>
      </c>
    </row>
    <row r="24" spans="1:2" x14ac:dyDescent="0.35">
      <c r="A24" s="95">
        <v>45382</v>
      </c>
      <c r="B24" s="79">
        <f t="shared" si="3"/>
        <v>4.3283925783723562</v>
      </c>
    </row>
    <row r="25" spans="1:2" x14ac:dyDescent="0.35">
      <c r="A25" s="95">
        <v>45412</v>
      </c>
      <c r="B25" s="79">
        <f t="shared" si="3"/>
        <v>3.8484533981437998</v>
      </c>
    </row>
    <row r="26" spans="1:2" x14ac:dyDescent="0.35">
      <c r="A26" s="95">
        <v>45443</v>
      </c>
      <c r="B26" s="79">
        <f t="shared" si="3"/>
        <v>4.0633092675840885</v>
      </c>
    </row>
    <row r="27" spans="1:2" x14ac:dyDescent="0.35">
      <c r="A27" s="95">
        <v>45473</v>
      </c>
      <c r="B27" s="79">
        <f t="shared" si="3"/>
        <v>3.9657250677770808</v>
      </c>
    </row>
  </sheetData>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C30C7-F221-4E37-A73E-480C55802FE4}">
  <dimension ref="A1:AF48"/>
  <sheetViews>
    <sheetView showGridLines="0" tabSelected="1" zoomScale="70" zoomScaleNormal="70" workbookViewId="0">
      <selection activeCell="AL3" sqref="AL3"/>
    </sheetView>
  </sheetViews>
  <sheetFormatPr defaultColWidth="9.1796875" defaultRowHeight="14.5" x14ac:dyDescent="0.35"/>
  <cols>
    <col min="9" max="9" width="3" customWidth="1"/>
    <col min="12" max="12" width="14.26953125" customWidth="1"/>
    <col min="13" max="13" width="12.7265625" customWidth="1"/>
    <col min="15" max="15" width="9.1796875" customWidth="1"/>
    <col min="16" max="16" width="17.81640625" customWidth="1"/>
    <col min="25" max="25" width="19.54296875" customWidth="1"/>
    <col min="32" max="32" width="10.7265625" customWidth="1"/>
  </cols>
  <sheetData>
    <row r="1" spans="1:32" ht="24.5" x14ac:dyDescent="0.45">
      <c r="A1" s="119" t="s">
        <v>79</v>
      </c>
      <c r="B1" s="120"/>
      <c r="C1" s="120"/>
      <c r="D1" s="120"/>
      <c r="E1" s="120"/>
      <c r="F1" s="120"/>
      <c r="G1" s="120"/>
      <c r="H1" s="120"/>
      <c r="I1" s="120"/>
      <c r="J1" s="120"/>
      <c r="K1" s="120"/>
      <c r="L1" s="120"/>
      <c r="M1" s="120"/>
      <c r="N1" s="120"/>
      <c r="O1" s="120"/>
      <c r="P1" s="120"/>
      <c r="Q1" s="120"/>
      <c r="R1" s="120"/>
      <c r="S1" s="120"/>
      <c r="T1" s="120"/>
      <c r="U1" s="120"/>
      <c r="V1" s="120"/>
      <c r="W1" s="120"/>
      <c r="X1" s="120"/>
      <c r="Y1" s="120"/>
      <c r="Z1" s="121"/>
      <c r="AA1" s="109"/>
      <c r="AB1" s="110"/>
      <c r="AC1" s="110"/>
      <c r="AD1" s="110"/>
      <c r="AE1" s="110"/>
      <c r="AF1" s="111"/>
    </row>
    <row r="2" spans="1:32" ht="24.5" x14ac:dyDescent="0.45">
      <c r="A2" s="122" t="s">
        <v>80</v>
      </c>
      <c r="B2" s="123"/>
      <c r="C2" s="123"/>
      <c r="D2" s="123"/>
      <c r="E2" s="123"/>
      <c r="F2" s="123"/>
      <c r="G2" s="123"/>
      <c r="H2" s="123"/>
      <c r="I2" s="123"/>
      <c r="J2" s="123"/>
      <c r="K2" s="123"/>
      <c r="L2" s="123"/>
      <c r="M2" s="123"/>
      <c r="N2" s="123"/>
      <c r="O2" s="123"/>
      <c r="P2" s="123"/>
      <c r="Q2" s="123"/>
      <c r="R2" s="123"/>
      <c r="S2" s="123"/>
      <c r="T2" s="123"/>
      <c r="U2" s="123"/>
      <c r="V2" s="123"/>
      <c r="W2" s="123"/>
      <c r="X2" s="123"/>
      <c r="Y2" s="123"/>
      <c r="Z2" s="124"/>
      <c r="AA2" s="112"/>
      <c r="AB2" s="92"/>
      <c r="AC2" s="92"/>
      <c r="AD2" s="92"/>
      <c r="AE2" s="92"/>
      <c r="AF2" s="113"/>
    </row>
    <row r="3" spans="1:32" x14ac:dyDescent="0.35">
      <c r="A3" s="114"/>
      <c r="B3" s="101"/>
      <c r="C3" s="101"/>
      <c r="D3" s="101"/>
      <c r="E3" s="101"/>
      <c r="F3" s="101"/>
      <c r="G3" s="101"/>
      <c r="H3" s="101"/>
      <c r="I3" s="101"/>
      <c r="J3" s="101"/>
      <c r="K3" s="101"/>
      <c r="L3" s="101"/>
      <c r="M3" s="101"/>
      <c r="N3" s="101"/>
      <c r="O3" s="101"/>
      <c r="P3" s="101"/>
      <c r="Q3" s="101"/>
      <c r="R3" s="101"/>
      <c r="S3" s="101"/>
      <c r="T3" s="101"/>
      <c r="U3" s="101"/>
      <c r="V3" s="101"/>
      <c r="W3" s="101"/>
      <c r="X3" s="101"/>
      <c r="Y3" s="101"/>
      <c r="Z3" s="115"/>
      <c r="AA3" s="112"/>
      <c r="AB3" s="92"/>
      <c r="AC3" s="92"/>
      <c r="AD3" s="92"/>
      <c r="AE3" s="92"/>
      <c r="AF3" s="113"/>
    </row>
    <row r="4" spans="1:32" x14ac:dyDescent="0.35">
      <c r="A4" s="114"/>
      <c r="B4" s="101"/>
      <c r="C4" s="101"/>
      <c r="D4" s="101"/>
      <c r="E4" s="101"/>
      <c r="F4" s="101"/>
      <c r="G4" s="101"/>
      <c r="H4" s="101"/>
      <c r="I4" s="101"/>
      <c r="J4" s="101"/>
      <c r="K4" s="101"/>
      <c r="L4" s="101"/>
      <c r="M4" s="101"/>
      <c r="N4" s="101"/>
      <c r="O4" s="101"/>
      <c r="P4" s="101"/>
      <c r="Q4" s="101"/>
      <c r="R4" s="101"/>
      <c r="S4" s="101"/>
      <c r="T4" s="101"/>
      <c r="U4" s="101"/>
      <c r="V4" s="101"/>
      <c r="W4" s="101"/>
      <c r="X4" s="101"/>
      <c r="Y4" s="101"/>
      <c r="Z4" s="115"/>
      <c r="AA4" s="112"/>
      <c r="AB4" s="92"/>
      <c r="AC4" s="92"/>
      <c r="AD4" s="92"/>
      <c r="AE4" s="92"/>
      <c r="AF4" s="113"/>
    </row>
    <row r="5" spans="1:32" x14ac:dyDescent="0.35">
      <c r="A5" s="114"/>
      <c r="B5" s="101"/>
      <c r="C5" s="101"/>
      <c r="D5" s="101"/>
      <c r="E5" s="101"/>
      <c r="F5" s="101"/>
      <c r="G5" s="101"/>
      <c r="H5" s="101"/>
      <c r="I5" s="101"/>
      <c r="J5" s="101"/>
      <c r="K5" s="101"/>
      <c r="L5" s="101"/>
      <c r="M5" s="101"/>
      <c r="N5" s="101"/>
      <c r="O5" s="101"/>
      <c r="P5" s="101"/>
      <c r="Q5" s="101"/>
      <c r="R5" s="101"/>
      <c r="S5" s="101"/>
      <c r="T5" s="101"/>
      <c r="U5" s="101"/>
      <c r="V5" s="101"/>
      <c r="W5" s="101"/>
      <c r="X5" s="101"/>
      <c r="Y5" s="101"/>
      <c r="Z5" s="115"/>
      <c r="AA5" s="112"/>
      <c r="AB5" s="92"/>
      <c r="AC5" s="92"/>
      <c r="AD5" s="92"/>
      <c r="AE5" s="92"/>
      <c r="AF5" s="113"/>
    </row>
    <row r="6" spans="1:32" x14ac:dyDescent="0.35">
      <c r="A6" s="114"/>
      <c r="B6" s="101"/>
      <c r="C6" s="101"/>
      <c r="D6" s="101"/>
      <c r="E6" s="101"/>
      <c r="F6" s="101"/>
      <c r="G6" s="101"/>
      <c r="H6" s="101"/>
      <c r="I6" s="101"/>
      <c r="J6" s="101"/>
      <c r="K6" s="101"/>
      <c r="L6" s="101"/>
      <c r="M6" s="101"/>
      <c r="N6" s="101"/>
      <c r="O6" s="101"/>
      <c r="P6" s="101"/>
      <c r="Q6" s="101"/>
      <c r="R6" s="101"/>
      <c r="S6" s="101"/>
      <c r="T6" s="101"/>
      <c r="U6" s="101"/>
      <c r="V6" s="101"/>
      <c r="W6" s="101"/>
      <c r="X6" s="101"/>
      <c r="Y6" s="101"/>
      <c r="Z6" s="115"/>
      <c r="AA6" s="112"/>
      <c r="AB6" s="92"/>
      <c r="AC6" s="92"/>
      <c r="AD6" s="92"/>
      <c r="AE6" s="92"/>
      <c r="AF6" s="113"/>
    </row>
    <row r="7" spans="1:32" x14ac:dyDescent="0.35">
      <c r="A7" s="114"/>
      <c r="B7" s="101"/>
      <c r="C7" s="101"/>
      <c r="D7" s="101"/>
      <c r="E7" s="101"/>
      <c r="F7" s="101"/>
      <c r="G7" s="101"/>
      <c r="H7" s="101"/>
      <c r="I7" s="101"/>
      <c r="J7" s="101"/>
      <c r="K7" s="101"/>
      <c r="L7" s="101"/>
      <c r="M7" s="101"/>
      <c r="N7" s="101"/>
      <c r="O7" s="101"/>
      <c r="P7" s="101"/>
      <c r="Q7" s="101"/>
      <c r="R7" s="101"/>
      <c r="S7" s="101"/>
      <c r="T7" s="101"/>
      <c r="U7" s="101"/>
      <c r="V7" s="101"/>
      <c r="W7" s="101"/>
      <c r="X7" s="101"/>
      <c r="Y7" s="101"/>
      <c r="Z7" s="115"/>
      <c r="AA7" s="112"/>
      <c r="AB7" s="92"/>
      <c r="AC7" s="92"/>
      <c r="AD7" s="92"/>
      <c r="AE7" s="92"/>
      <c r="AF7" s="113"/>
    </row>
    <row r="8" spans="1:32" x14ac:dyDescent="0.35">
      <c r="A8" s="114"/>
      <c r="B8" s="101"/>
      <c r="C8" s="101"/>
      <c r="D8" s="101"/>
      <c r="E8" s="101"/>
      <c r="F8" s="101"/>
      <c r="G8" s="101"/>
      <c r="H8" s="101"/>
      <c r="I8" s="101"/>
      <c r="J8" s="101"/>
      <c r="K8" s="101"/>
      <c r="L8" s="101"/>
      <c r="M8" s="101"/>
      <c r="N8" s="101"/>
      <c r="O8" s="101"/>
      <c r="P8" s="101"/>
      <c r="Q8" s="101"/>
      <c r="R8" s="101"/>
      <c r="S8" s="101"/>
      <c r="T8" s="101"/>
      <c r="U8" s="101"/>
      <c r="V8" s="101"/>
      <c r="W8" s="101"/>
      <c r="X8" s="101"/>
      <c r="Y8" s="101"/>
      <c r="Z8" s="115"/>
      <c r="AA8" s="112"/>
      <c r="AB8" s="92"/>
      <c r="AC8" s="92"/>
      <c r="AD8" s="92"/>
      <c r="AE8" s="92"/>
      <c r="AF8" s="113"/>
    </row>
    <row r="9" spans="1:32" x14ac:dyDescent="0.35">
      <c r="A9" s="114"/>
      <c r="B9" s="101"/>
      <c r="C9" s="101"/>
      <c r="D9" s="101"/>
      <c r="E9" s="101"/>
      <c r="F9" s="101"/>
      <c r="G9" s="101"/>
      <c r="H9" s="101"/>
      <c r="I9" s="101"/>
      <c r="J9" s="101"/>
      <c r="K9" s="101"/>
      <c r="L9" s="101"/>
      <c r="M9" s="101"/>
      <c r="N9" s="101"/>
      <c r="O9" s="101"/>
      <c r="P9" s="101"/>
      <c r="Q9" s="101"/>
      <c r="R9" s="101"/>
      <c r="S9" s="101"/>
      <c r="T9" s="101"/>
      <c r="U9" s="101"/>
      <c r="V9" s="101"/>
      <c r="W9" s="101"/>
      <c r="X9" s="101"/>
      <c r="Y9" s="101"/>
      <c r="Z9" s="115"/>
      <c r="AA9" s="112"/>
      <c r="AB9" s="92"/>
      <c r="AC9" s="92"/>
      <c r="AD9" s="92"/>
      <c r="AE9" s="92"/>
      <c r="AF9" s="113"/>
    </row>
    <row r="10" spans="1:32" x14ac:dyDescent="0.35">
      <c r="A10" s="114"/>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15"/>
      <c r="AA10" s="112"/>
      <c r="AB10" s="92"/>
      <c r="AC10" s="92"/>
      <c r="AD10" s="92"/>
      <c r="AE10" s="92"/>
      <c r="AF10" s="113"/>
    </row>
    <row r="11" spans="1:32" x14ac:dyDescent="0.35">
      <c r="A11" s="114"/>
      <c r="B11" s="101"/>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15"/>
      <c r="AA11" s="112"/>
      <c r="AB11" s="92"/>
      <c r="AC11" s="92"/>
      <c r="AD11" s="92"/>
      <c r="AE11" s="92"/>
      <c r="AF11" s="113"/>
    </row>
    <row r="12" spans="1:32" x14ac:dyDescent="0.35">
      <c r="A12" s="114"/>
      <c r="B12" s="101"/>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15"/>
      <c r="AA12" s="112"/>
      <c r="AB12" s="92"/>
      <c r="AC12" s="92"/>
      <c r="AD12" s="92"/>
      <c r="AE12" s="92"/>
      <c r="AF12" s="113"/>
    </row>
    <row r="13" spans="1:32" x14ac:dyDescent="0.35">
      <c r="A13" s="114"/>
      <c r="B13" s="101"/>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15"/>
      <c r="AA13" s="112"/>
      <c r="AB13" s="92"/>
      <c r="AC13" s="92"/>
      <c r="AD13" s="92"/>
      <c r="AE13" s="92"/>
      <c r="AF13" s="113"/>
    </row>
    <row r="14" spans="1:32" x14ac:dyDescent="0.35">
      <c r="A14" s="114"/>
      <c r="B14" s="101"/>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15"/>
      <c r="AA14" s="112"/>
      <c r="AB14" s="92"/>
      <c r="AC14" s="92"/>
      <c r="AD14" s="92"/>
      <c r="AE14" s="92"/>
      <c r="AF14" s="113"/>
    </row>
    <row r="15" spans="1:32" x14ac:dyDescent="0.35">
      <c r="A15" s="114"/>
      <c r="B15" s="101"/>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15"/>
      <c r="AA15" s="112"/>
      <c r="AB15" s="92"/>
      <c r="AC15" s="92"/>
      <c r="AD15" s="92"/>
      <c r="AE15" s="92"/>
      <c r="AF15" s="113"/>
    </row>
    <row r="16" spans="1:32" x14ac:dyDescent="0.35">
      <c r="A16" s="114"/>
      <c r="B16" s="101"/>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15"/>
      <c r="AA16" s="112"/>
      <c r="AB16" s="92"/>
      <c r="AC16" s="92"/>
      <c r="AD16" s="92"/>
      <c r="AE16" s="92"/>
      <c r="AF16" s="113"/>
    </row>
    <row r="17" spans="1:32" x14ac:dyDescent="0.35">
      <c r="A17" s="114"/>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15"/>
      <c r="AA17" s="112"/>
      <c r="AB17" s="92"/>
      <c r="AC17" s="92"/>
      <c r="AD17" s="92"/>
      <c r="AE17" s="92"/>
      <c r="AF17" s="113"/>
    </row>
    <row r="18" spans="1:32" x14ac:dyDescent="0.35">
      <c r="A18" s="114"/>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15"/>
      <c r="AA18" s="112"/>
      <c r="AB18" s="92"/>
      <c r="AC18" s="92"/>
      <c r="AD18" s="92"/>
      <c r="AE18" s="92"/>
      <c r="AF18" s="113"/>
    </row>
    <row r="19" spans="1:32" ht="21" x14ac:dyDescent="0.5">
      <c r="A19" s="114"/>
      <c r="B19" s="101"/>
      <c r="C19" s="101"/>
      <c r="D19" s="101"/>
      <c r="E19" s="101"/>
      <c r="F19" s="101"/>
      <c r="G19" s="101"/>
      <c r="H19" s="101"/>
      <c r="I19" s="101"/>
      <c r="J19" s="101"/>
      <c r="K19" s="101"/>
      <c r="L19" s="101"/>
      <c r="M19" s="101"/>
      <c r="N19" s="101"/>
      <c r="O19" s="101"/>
      <c r="P19" s="101"/>
      <c r="Q19" s="101"/>
      <c r="R19" s="102"/>
      <c r="S19" s="103"/>
      <c r="T19" s="103"/>
      <c r="U19" s="103"/>
      <c r="V19" s="103"/>
      <c r="W19" s="103"/>
      <c r="X19" s="103"/>
      <c r="Y19" s="99"/>
      <c r="Z19" s="115"/>
      <c r="AA19" s="112"/>
      <c r="AB19" s="92"/>
      <c r="AC19" s="92"/>
      <c r="AD19" s="92"/>
      <c r="AE19" s="92"/>
      <c r="AF19" s="113"/>
    </row>
    <row r="20" spans="1:32" x14ac:dyDescent="0.35">
      <c r="A20" s="114"/>
      <c r="B20" s="101"/>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15"/>
      <c r="AA20" s="112"/>
      <c r="AB20" s="92"/>
      <c r="AC20" s="92"/>
      <c r="AD20" s="92"/>
      <c r="AE20" s="92"/>
      <c r="AF20" s="113"/>
    </row>
    <row r="21" spans="1:32" x14ac:dyDescent="0.35">
      <c r="A21" s="114"/>
      <c r="B21" s="101"/>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15"/>
      <c r="AA21" s="112"/>
      <c r="AB21" s="92"/>
      <c r="AC21" s="92"/>
      <c r="AD21" s="92"/>
      <c r="AE21" s="92"/>
      <c r="AF21" s="113"/>
    </row>
    <row r="22" spans="1:32" x14ac:dyDescent="0.35">
      <c r="A22" s="114"/>
      <c r="B22" s="101"/>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15"/>
      <c r="AA22" s="112"/>
      <c r="AB22" s="92"/>
      <c r="AC22" s="92"/>
      <c r="AD22" s="92"/>
      <c r="AE22" s="92"/>
      <c r="AF22" s="113"/>
    </row>
    <row r="23" spans="1:32" x14ac:dyDescent="0.35">
      <c r="A23" s="114"/>
      <c r="B23" s="101"/>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15"/>
      <c r="AA23" s="112"/>
      <c r="AB23" s="92"/>
      <c r="AC23" s="92"/>
      <c r="AD23" s="92"/>
      <c r="AE23" s="92"/>
      <c r="AF23" s="113"/>
    </row>
    <row r="24" spans="1:32" x14ac:dyDescent="0.35">
      <c r="A24" s="114"/>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15"/>
      <c r="AA24" s="112"/>
      <c r="AB24" s="92"/>
      <c r="AC24" s="92"/>
      <c r="AD24" s="92"/>
      <c r="AE24" s="92"/>
      <c r="AF24" s="113"/>
    </row>
    <row r="25" spans="1:32" x14ac:dyDescent="0.35">
      <c r="A25" s="114"/>
      <c r="B25" s="101"/>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15"/>
      <c r="AA25" s="112"/>
      <c r="AB25" s="92"/>
      <c r="AC25" s="92"/>
      <c r="AD25" s="92"/>
      <c r="AE25" s="92"/>
      <c r="AF25" s="113"/>
    </row>
    <row r="26" spans="1:32" x14ac:dyDescent="0.35">
      <c r="A26" s="114"/>
      <c r="B26" s="101"/>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15"/>
      <c r="AA26" s="112"/>
      <c r="AB26" s="92"/>
      <c r="AC26" s="92"/>
      <c r="AD26" s="92"/>
      <c r="AE26" s="92"/>
      <c r="AF26" s="113"/>
    </row>
    <row r="27" spans="1:32" x14ac:dyDescent="0.35">
      <c r="A27" s="114"/>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15"/>
      <c r="AA27" s="112"/>
      <c r="AB27" s="92"/>
      <c r="AC27" s="92"/>
      <c r="AD27" s="92"/>
      <c r="AE27" s="92"/>
      <c r="AF27" s="113"/>
    </row>
    <row r="28" spans="1:32" x14ac:dyDescent="0.35">
      <c r="A28" s="114"/>
      <c r="B28" s="101"/>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15"/>
      <c r="AA28" s="112"/>
      <c r="AB28" s="92"/>
      <c r="AC28" s="92"/>
      <c r="AD28" s="92"/>
      <c r="AE28" s="92"/>
      <c r="AF28" s="113"/>
    </row>
    <row r="29" spans="1:32" x14ac:dyDescent="0.35">
      <c r="A29" s="114"/>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15"/>
      <c r="AA29" s="112"/>
      <c r="AB29" s="92"/>
      <c r="AC29" s="92"/>
      <c r="AD29" s="92"/>
      <c r="AE29" s="92"/>
      <c r="AF29" s="113"/>
    </row>
    <row r="30" spans="1:32" x14ac:dyDescent="0.35">
      <c r="A30" s="114"/>
      <c r="B30" s="101"/>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15"/>
      <c r="AA30" s="112"/>
      <c r="AB30" s="92"/>
      <c r="AC30" s="92"/>
      <c r="AD30" s="92"/>
      <c r="AE30" s="92"/>
      <c r="AF30" s="113"/>
    </row>
    <row r="31" spans="1:32" x14ac:dyDescent="0.35">
      <c r="A31" s="114"/>
      <c r="B31" s="101"/>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15"/>
      <c r="AA31" s="112"/>
      <c r="AB31" s="92"/>
      <c r="AC31" s="92"/>
      <c r="AD31" s="92"/>
      <c r="AE31" s="92"/>
      <c r="AF31" s="113"/>
    </row>
    <row r="32" spans="1:32" x14ac:dyDescent="0.35">
      <c r="A32" s="114"/>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15"/>
      <c r="AA32" s="112"/>
      <c r="AB32" s="92"/>
      <c r="AC32" s="92"/>
      <c r="AD32" s="92"/>
      <c r="AE32" s="92"/>
      <c r="AF32" s="113"/>
    </row>
    <row r="33" spans="1:32" x14ac:dyDescent="0.35">
      <c r="A33" s="114"/>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15"/>
      <c r="AA33" s="112"/>
      <c r="AB33" s="92"/>
      <c r="AC33" s="92"/>
      <c r="AD33" s="92"/>
      <c r="AE33" s="92"/>
      <c r="AF33" s="113"/>
    </row>
    <row r="34" spans="1:32" x14ac:dyDescent="0.35">
      <c r="A34" s="114"/>
      <c r="B34" s="101"/>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15"/>
      <c r="AA34" s="112"/>
      <c r="AB34" s="92"/>
      <c r="AC34" s="92"/>
      <c r="AD34" s="92"/>
      <c r="AE34" s="92"/>
      <c r="AF34" s="113"/>
    </row>
    <row r="35" spans="1:32" x14ac:dyDescent="0.35">
      <c r="A35" s="114"/>
      <c r="B35" s="101"/>
      <c r="C35" s="101"/>
      <c r="D35" s="101"/>
      <c r="E35" s="101"/>
      <c r="F35" s="101"/>
      <c r="G35" s="101"/>
      <c r="H35" s="101"/>
      <c r="I35" s="101"/>
      <c r="J35" s="104"/>
      <c r="K35" s="104"/>
      <c r="L35" s="104"/>
      <c r="M35" s="104"/>
      <c r="N35" s="104"/>
      <c r="O35" s="104"/>
      <c r="P35" s="104"/>
      <c r="Q35" s="104"/>
      <c r="R35" s="101"/>
      <c r="S35" s="101"/>
      <c r="T35" s="101"/>
      <c r="U35" s="101"/>
      <c r="V35" s="101"/>
      <c r="W35" s="101"/>
      <c r="X35" s="101"/>
      <c r="Y35" s="101"/>
      <c r="Z35" s="115"/>
      <c r="AA35" s="112"/>
      <c r="AB35" s="92"/>
      <c r="AC35" s="92"/>
      <c r="AD35" s="92"/>
      <c r="AE35" s="92"/>
      <c r="AF35" s="113"/>
    </row>
    <row r="36" spans="1:32" ht="21" x14ac:dyDescent="0.5">
      <c r="A36" s="114"/>
      <c r="B36" s="101"/>
      <c r="C36" s="101"/>
      <c r="D36" s="101"/>
      <c r="E36" s="101"/>
      <c r="F36" s="101"/>
      <c r="G36" s="101"/>
      <c r="H36" s="101"/>
      <c r="I36" s="101"/>
      <c r="J36" s="105" t="s">
        <v>81</v>
      </c>
      <c r="K36" s="106"/>
      <c r="L36" s="106"/>
      <c r="M36" s="104"/>
      <c r="N36" s="104"/>
      <c r="O36" s="104"/>
      <c r="P36" s="100">
        <f>'Revenue PV'!B10</f>
        <v>56635409</v>
      </c>
      <c r="Q36" s="104"/>
      <c r="R36" s="101"/>
      <c r="S36" s="101"/>
      <c r="T36" s="101"/>
      <c r="U36" s="101"/>
      <c r="V36" s="101"/>
      <c r="W36" s="101"/>
      <c r="X36" s="101"/>
      <c r="Y36" s="101"/>
      <c r="Z36" s="115"/>
      <c r="AA36" s="112"/>
      <c r="AB36" s="92"/>
      <c r="AC36" s="92"/>
      <c r="AD36" s="92"/>
      <c r="AE36" s="92"/>
      <c r="AF36" s="113"/>
    </row>
    <row r="37" spans="1:32" ht="21" x14ac:dyDescent="0.5">
      <c r="A37" s="114"/>
      <c r="B37" s="101"/>
      <c r="C37" s="101"/>
      <c r="D37" s="101"/>
      <c r="E37" s="101"/>
      <c r="F37" s="101"/>
      <c r="G37" s="101"/>
      <c r="H37" s="101"/>
      <c r="I37" s="101"/>
      <c r="J37" s="105" t="s">
        <v>112</v>
      </c>
      <c r="K37" s="106"/>
      <c r="L37" s="106"/>
      <c r="M37" s="104"/>
      <c r="N37" s="104"/>
      <c r="O37" s="104"/>
      <c r="P37" s="100">
        <f>'Revenue Data'!$E$25</f>
        <v>4597895</v>
      </c>
      <c r="Q37" s="104"/>
      <c r="R37" s="101"/>
      <c r="S37" s="101"/>
      <c r="T37" s="101"/>
      <c r="U37" s="101"/>
      <c r="V37" s="101"/>
      <c r="W37" s="101"/>
      <c r="X37" s="101"/>
      <c r="Y37" s="101"/>
      <c r="Z37" s="115"/>
      <c r="AA37" s="112"/>
      <c r="AB37" s="92"/>
      <c r="AC37" s="92"/>
      <c r="AD37" s="92"/>
      <c r="AE37" s="92"/>
      <c r="AF37" s="113"/>
    </row>
    <row r="38" spans="1:32" ht="21" x14ac:dyDescent="0.5">
      <c r="A38" s="114"/>
      <c r="B38" s="101"/>
      <c r="C38" s="101"/>
      <c r="D38" s="101"/>
      <c r="E38" s="101"/>
      <c r="F38" s="101"/>
      <c r="G38" s="101"/>
      <c r="H38" s="101"/>
      <c r="I38" s="101"/>
      <c r="J38" s="105"/>
      <c r="K38" s="105"/>
      <c r="L38" s="105"/>
      <c r="M38" s="105"/>
      <c r="N38" s="105"/>
      <c r="O38" s="105"/>
      <c r="P38" s="107"/>
      <c r="Q38" s="104"/>
      <c r="R38" s="101"/>
      <c r="S38" s="101"/>
      <c r="T38" s="101"/>
      <c r="U38" s="101"/>
      <c r="V38" s="101"/>
      <c r="W38" s="101"/>
      <c r="X38" s="101"/>
      <c r="Y38" s="101"/>
      <c r="Z38" s="115"/>
      <c r="AA38" s="112"/>
      <c r="AB38" s="92"/>
      <c r="AC38" s="92"/>
      <c r="AD38" s="92"/>
      <c r="AE38" s="92"/>
      <c r="AF38" s="113"/>
    </row>
    <row r="39" spans="1:32" ht="21" x14ac:dyDescent="0.5">
      <c r="A39" s="114"/>
      <c r="B39" s="101"/>
      <c r="C39" s="101"/>
      <c r="D39" s="101"/>
      <c r="E39" s="101"/>
      <c r="F39" s="101"/>
      <c r="G39" s="101"/>
      <c r="H39" s="101"/>
      <c r="I39" s="101"/>
      <c r="J39" s="105" t="s">
        <v>70</v>
      </c>
      <c r="K39" s="106"/>
      <c r="L39" s="106"/>
      <c r="M39" s="104"/>
      <c r="N39" s="104"/>
      <c r="O39" s="104"/>
      <c r="P39" s="107">
        <f>'Expenses PV'!A9</f>
        <v>43524669</v>
      </c>
      <c r="Q39" s="104"/>
      <c r="R39" s="101"/>
      <c r="S39" s="101"/>
      <c r="T39" s="101"/>
      <c r="U39" s="101"/>
      <c r="V39" s="101"/>
      <c r="W39" s="101"/>
      <c r="X39" s="101"/>
      <c r="Y39" s="101"/>
      <c r="Z39" s="115"/>
      <c r="AA39" s="112"/>
      <c r="AB39" s="92"/>
      <c r="AC39" s="92"/>
      <c r="AD39" s="92"/>
      <c r="AE39" s="92"/>
      <c r="AF39" s="113"/>
    </row>
    <row r="40" spans="1:32" ht="21" x14ac:dyDescent="0.5">
      <c r="A40" s="114"/>
      <c r="B40" s="101"/>
      <c r="C40" s="101"/>
      <c r="D40" s="101"/>
      <c r="E40" s="101"/>
      <c r="F40" s="101"/>
      <c r="G40" s="101"/>
      <c r="H40" s="101"/>
      <c r="I40" s="101"/>
      <c r="J40" s="105"/>
      <c r="K40" s="106"/>
      <c r="L40" s="106"/>
      <c r="M40" s="104"/>
      <c r="N40" s="104"/>
      <c r="O40" s="104"/>
      <c r="P40" s="105"/>
      <c r="Q40" s="104"/>
      <c r="R40" s="101"/>
      <c r="S40" s="101"/>
      <c r="T40" s="101"/>
      <c r="U40" s="101"/>
      <c r="V40" s="101"/>
      <c r="W40" s="101"/>
      <c r="X40" s="101"/>
      <c r="Y40" s="101"/>
      <c r="Z40" s="115"/>
      <c r="AA40" s="112"/>
      <c r="AB40" s="92"/>
      <c r="AC40" s="92"/>
      <c r="AD40" s="92"/>
      <c r="AE40" s="92"/>
      <c r="AF40" s="113"/>
    </row>
    <row r="41" spans="1:32" ht="21" x14ac:dyDescent="0.5">
      <c r="A41" s="114"/>
      <c r="B41" s="101"/>
      <c r="C41" s="101"/>
      <c r="D41" s="101"/>
      <c r="E41" s="101"/>
      <c r="F41" s="101"/>
      <c r="G41" s="101"/>
      <c r="H41" s="101"/>
      <c r="I41" s="101"/>
      <c r="J41" s="105" t="s">
        <v>71</v>
      </c>
      <c r="K41" s="106"/>
      <c r="L41" s="106"/>
      <c r="M41" s="104"/>
      <c r="N41" s="104"/>
      <c r="O41" s="104"/>
      <c r="P41" s="107">
        <f>'Revenue Data'!E20+'Revenue Data'!E25-'Expenses Data'!B7</f>
        <v>17708635</v>
      </c>
      <c r="Q41" s="104"/>
      <c r="R41" s="101"/>
      <c r="S41" s="101"/>
      <c r="T41" s="101"/>
      <c r="U41" s="101"/>
      <c r="V41" s="101"/>
      <c r="W41" s="101"/>
      <c r="X41" s="101"/>
      <c r="Y41" s="101"/>
      <c r="Z41" s="115"/>
      <c r="AA41" s="112"/>
      <c r="AB41" s="92"/>
      <c r="AC41" s="92"/>
      <c r="AD41" s="92"/>
      <c r="AE41" s="92"/>
      <c r="AF41" s="113"/>
    </row>
    <row r="42" spans="1:32" ht="21" customHeight="1" x14ac:dyDescent="0.5">
      <c r="A42" s="114"/>
      <c r="B42" s="101"/>
      <c r="C42" s="101"/>
      <c r="D42" s="101"/>
      <c r="E42" s="101"/>
      <c r="F42" s="101"/>
      <c r="G42" s="101"/>
      <c r="H42" s="101"/>
      <c r="I42" s="101"/>
      <c r="J42" s="105"/>
      <c r="K42" s="106"/>
      <c r="L42" s="106"/>
      <c r="M42" s="104"/>
      <c r="N42" s="104"/>
      <c r="O42" s="104"/>
      <c r="P42" s="105"/>
      <c r="Q42" s="104"/>
      <c r="R42" s="101"/>
      <c r="S42" s="101"/>
      <c r="T42" s="101"/>
      <c r="U42" s="101"/>
      <c r="V42" s="101"/>
      <c r="W42" s="101"/>
      <c r="X42" s="101"/>
      <c r="Y42" s="101"/>
      <c r="Z42" s="115"/>
      <c r="AA42" s="112"/>
      <c r="AB42" s="92"/>
      <c r="AC42" s="92"/>
      <c r="AD42" s="92"/>
      <c r="AE42" s="92"/>
      <c r="AF42" s="113"/>
    </row>
    <row r="43" spans="1:32" ht="21" x14ac:dyDescent="0.5">
      <c r="A43" s="114"/>
      <c r="B43" s="101"/>
      <c r="C43" s="101"/>
      <c r="D43" s="101"/>
      <c r="E43" s="101"/>
      <c r="F43" s="101"/>
      <c r="G43" s="101"/>
      <c r="H43" s="101"/>
      <c r="I43" s="101"/>
      <c r="J43" s="105" t="s">
        <v>78</v>
      </c>
      <c r="K43" s="106"/>
      <c r="L43" s="106"/>
      <c r="M43" s="104"/>
      <c r="N43" s="104"/>
      <c r="O43" s="104"/>
      <c r="P43" s="108">
        <f>'Admin Ratio'!B12</f>
        <v>0.14290883935627743</v>
      </c>
      <c r="Q43" s="104"/>
      <c r="R43" s="101"/>
      <c r="S43" s="101"/>
      <c r="T43" s="101"/>
      <c r="U43" s="101"/>
      <c r="V43" s="101"/>
      <c r="W43" s="101"/>
      <c r="X43" s="101"/>
      <c r="Y43" s="101"/>
      <c r="Z43" s="115"/>
      <c r="AA43" s="112"/>
      <c r="AB43" s="92"/>
      <c r="AC43" s="92"/>
      <c r="AD43" s="92"/>
      <c r="AE43" s="92"/>
      <c r="AF43" s="113"/>
    </row>
    <row r="44" spans="1:32" x14ac:dyDescent="0.35">
      <c r="A44" s="114"/>
      <c r="B44" s="101"/>
      <c r="C44" s="101"/>
      <c r="D44" s="101"/>
      <c r="E44" s="101"/>
      <c r="F44" s="101"/>
      <c r="G44" s="101"/>
      <c r="H44" s="101"/>
      <c r="I44" s="101"/>
      <c r="J44" s="101"/>
      <c r="K44" s="101"/>
      <c r="L44" s="101"/>
      <c r="M44" s="101"/>
      <c r="N44" s="101"/>
      <c r="O44" s="101"/>
      <c r="P44" s="101"/>
      <c r="Q44" s="104"/>
      <c r="R44" s="101"/>
      <c r="S44" s="101"/>
      <c r="T44" s="101"/>
      <c r="U44" s="101"/>
      <c r="V44" s="101"/>
      <c r="W44" s="101"/>
      <c r="X44" s="101"/>
      <c r="Y44" s="101"/>
      <c r="Z44" s="115"/>
      <c r="AA44" s="112"/>
      <c r="AB44" s="92"/>
      <c r="AC44" s="92"/>
      <c r="AD44" s="92"/>
      <c r="AE44" s="92"/>
      <c r="AF44" s="113"/>
    </row>
    <row r="45" spans="1:32" x14ac:dyDescent="0.35">
      <c r="A45" s="114"/>
      <c r="B45" s="101"/>
      <c r="C45" s="101"/>
      <c r="D45" s="101"/>
      <c r="E45" s="101"/>
      <c r="F45" s="101"/>
      <c r="G45" s="101"/>
      <c r="H45" s="101"/>
      <c r="I45" s="101"/>
      <c r="J45" s="104"/>
      <c r="K45" s="104"/>
      <c r="L45" s="104"/>
      <c r="M45" s="104"/>
      <c r="N45" s="104"/>
      <c r="O45" s="104"/>
      <c r="P45" s="104"/>
      <c r="Q45" s="104"/>
      <c r="R45" s="101"/>
      <c r="S45" s="101"/>
      <c r="T45" s="101"/>
      <c r="U45" s="101"/>
      <c r="V45" s="101"/>
      <c r="W45" s="101"/>
      <c r="X45" s="101"/>
      <c r="Y45" s="101"/>
      <c r="Z45" s="115"/>
      <c r="AA45" s="112"/>
      <c r="AB45" s="92"/>
      <c r="AC45" s="92"/>
      <c r="AD45" s="92"/>
      <c r="AE45" s="92"/>
      <c r="AF45" s="113"/>
    </row>
    <row r="46" spans="1:32" x14ac:dyDescent="0.35">
      <c r="A46" s="114"/>
      <c r="B46" s="101"/>
      <c r="C46" s="101"/>
      <c r="D46" s="101"/>
      <c r="E46" s="101"/>
      <c r="F46" s="101"/>
      <c r="G46" s="101"/>
      <c r="H46" s="101"/>
      <c r="I46" s="101"/>
      <c r="J46" s="104"/>
      <c r="K46" s="104"/>
      <c r="L46" s="104"/>
      <c r="M46" s="104"/>
      <c r="N46" s="104"/>
      <c r="O46" s="104"/>
      <c r="P46" s="104"/>
      <c r="Q46" s="104"/>
      <c r="R46" s="101"/>
      <c r="S46" s="101"/>
      <c r="T46" s="101"/>
      <c r="U46" s="101"/>
      <c r="V46" s="101"/>
      <c r="W46" s="101"/>
      <c r="X46" s="101"/>
      <c r="Y46" s="101"/>
      <c r="Z46" s="115"/>
      <c r="AA46" s="112"/>
      <c r="AB46" s="92"/>
      <c r="AC46" s="92"/>
      <c r="AD46" s="92"/>
      <c r="AE46" s="92"/>
      <c r="AF46" s="113"/>
    </row>
    <row r="47" spans="1:32" x14ac:dyDescent="0.35">
      <c r="A47" s="114"/>
      <c r="B47" s="101"/>
      <c r="C47" s="101"/>
      <c r="D47" s="101"/>
      <c r="E47" s="101"/>
      <c r="F47" s="101"/>
      <c r="G47" s="101"/>
      <c r="H47" s="101"/>
      <c r="I47" s="101"/>
      <c r="J47" s="101"/>
      <c r="K47" s="101"/>
      <c r="L47" s="101"/>
      <c r="M47" s="101"/>
      <c r="N47" s="101"/>
      <c r="O47" s="101"/>
      <c r="P47" s="101"/>
      <c r="Q47" s="101"/>
      <c r="R47" s="101"/>
      <c r="S47" s="101"/>
      <c r="T47" s="101"/>
      <c r="U47" s="101"/>
      <c r="V47" s="101"/>
      <c r="W47" s="101"/>
      <c r="X47" s="101"/>
      <c r="Y47" s="101"/>
      <c r="Z47" s="115"/>
      <c r="AA47" s="125" t="s">
        <v>113</v>
      </c>
      <c r="AB47" s="126"/>
      <c r="AC47" s="126"/>
      <c r="AD47" s="126"/>
      <c r="AE47" s="126"/>
      <c r="AF47" s="127"/>
    </row>
    <row r="48" spans="1:32" x14ac:dyDescent="0.35">
      <c r="A48" s="116"/>
      <c r="B48" s="117"/>
      <c r="C48" s="117"/>
      <c r="D48" s="117"/>
      <c r="E48" s="117"/>
      <c r="F48" s="117"/>
      <c r="G48" s="117"/>
      <c r="H48" s="117"/>
      <c r="I48" s="117"/>
      <c r="J48" s="117"/>
      <c r="K48" s="117"/>
      <c r="L48" s="117"/>
      <c r="M48" s="117"/>
      <c r="N48" s="117"/>
      <c r="O48" s="117"/>
      <c r="P48" s="117"/>
      <c r="Q48" s="117"/>
      <c r="R48" s="117"/>
      <c r="S48" s="117"/>
      <c r="T48" s="117"/>
      <c r="U48" s="117"/>
      <c r="V48" s="117"/>
      <c r="W48" s="117"/>
      <c r="X48" s="117"/>
      <c r="Y48" s="117"/>
      <c r="Z48" s="118"/>
      <c r="AA48" s="128"/>
      <c r="AB48" s="129"/>
      <c r="AC48" s="129"/>
      <c r="AD48" s="129"/>
      <c r="AE48" s="129"/>
      <c r="AF48" s="130"/>
    </row>
  </sheetData>
  <sheetProtection algorithmName="SHA-512" hashValue="9EokoS/YWtSWxV5TfxSu9J3KziVn6KzdZ2jonGRi57nUlvVIPymQyraAeWZpsUq52mgHIdoHM82svtheaC+zxg==" saltValue="xtTrvvQgTbmYJk8hWl0igA==" spinCount="100000" sheet="1" objects="1" scenarios="1"/>
  <protectedRanges>
    <protectedRange sqref="AA3:AF46" name="Range1"/>
  </protectedRanges>
  <mergeCells count="3">
    <mergeCell ref="A1:Z1"/>
    <mergeCell ref="A2:Z2"/>
    <mergeCell ref="AA47:AF48"/>
  </mergeCells>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1D39A-6598-46C3-BDA3-1EA132D95756}">
  <dimension ref="A1:M16"/>
  <sheetViews>
    <sheetView zoomScale="85" zoomScaleNormal="85" workbookViewId="0">
      <selection activeCell="K10" sqref="K10"/>
    </sheetView>
  </sheetViews>
  <sheetFormatPr defaultColWidth="9.1796875" defaultRowHeight="14.5" x14ac:dyDescent="0.35"/>
  <cols>
    <col min="1" max="1" width="30.1796875" bestFit="1" customWidth="1"/>
    <col min="2" max="13" width="15.26953125" bestFit="1" customWidth="1"/>
  </cols>
  <sheetData>
    <row r="1" spans="1:13" x14ac:dyDescent="0.35">
      <c r="B1" s="1">
        <v>45138</v>
      </c>
      <c r="C1" s="1">
        <v>45169</v>
      </c>
      <c r="D1" s="1">
        <v>45199</v>
      </c>
      <c r="E1" s="1">
        <v>45230</v>
      </c>
      <c r="F1" s="1">
        <v>45260</v>
      </c>
      <c r="G1" s="1">
        <v>45291</v>
      </c>
      <c r="H1" s="1">
        <v>45322</v>
      </c>
      <c r="I1" s="1">
        <v>45351</v>
      </c>
      <c r="J1" s="1">
        <v>45382</v>
      </c>
      <c r="K1" s="1">
        <v>45412</v>
      </c>
      <c r="L1" s="1">
        <v>45443</v>
      </c>
      <c r="M1" s="1">
        <v>45473</v>
      </c>
    </row>
    <row r="2" spans="1:13" ht="15" thickBot="1" x14ac:dyDescent="0.4">
      <c r="A2" s="21" t="s">
        <v>14</v>
      </c>
    </row>
    <row r="3" spans="1:13" x14ac:dyDescent="0.35">
      <c r="A3" s="23" t="s">
        <v>15</v>
      </c>
      <c r="B3" s="24"/>
      <c r="C3" s="24"/>
      <c r="D3" s="24"/>
      <c r="E3" s="24"/>
      <c r="F3" s="24"/>
      <c r="G3" s="24"/>
      <c r="H3" s="24"/>
      <c r="I3" s="24"/>
      <c r="J3" s="24"/>
      <c r="K3" s="24"/>
      <c r="L3" s="24"/>
      <c r="M3" s="25"/>
    </row>
    <row r="4" spans="1:13" ht="25" x14ac:dyDescent="0.35">
      <c r="A4" s="26" t="s">
        <v>16</v>
      </c>
      <c r="B4" s="11">
        <v>904626</v>
      </c>
      <c r="C4" s="11">
        <v>1102693</v>
      </c>
      <c r="D4" s="11">
        <v>1175492</v>
      </c>
      <c r="E4" s="11">
        <v>1105873</v>
      </c>
      <c r="F4" s="11">
        <v>1079756</v>
      </c>
      <c r="G4" s="11">
        <v>1093348</v>
      </c>
      <c r="H4" s="11">
        <v>1275203</v>
      </c>
      <c r="I4" s="11">
        <v>997556</v>
      </c>
      <c r="J4" s="11">
        <v>1115752</v>
      </c>
      <c r="K4" s="11">
        <v>1148634</v>
      </c>
      <c r="L4" s="11">
        <v>947171</v>
      </c>
      <c r="M4" s="12">
        <v>1146182</v>
      </c>
    </row>
    <row r="5" spans="1:13" x14ac:dyDescent="0.35">
      <c r="A5" s="26" t="s">
        <v>17</v>
      </c>
      <c r="B5" s="11">
        <v>0</v>
      </c>
      <c r="C5" s="11">
        <v>0</v>
      </c>
      <c r="D5" s="11">
        <v>0</v>
      </c>
      <c r="E5" s="11">
        <v>0</v>
      </c>
      <c r="F5" s="11">
        <v>0</v>
      </c>
      <c r="G5" s="11">
        <v>0</v>
      </c>
      <c r="H5" s="11">
        <v>0</v>
      </c>
      <c r="I5" s="11">
        <v>0</v>
      </c>
      <c r="J5" s="11">
        <v>0</v>
      </c>
      <c r="K5" s="11">
        <v>0</v>
      </c>
      <c r="L5" s="11">
        <v>0</v>
      </c>
      <c r="M5" s="12">
        <v>0</v>
      </c>
    </row>
    <row r="6" spans="1:13" x14ac:dyDescent="0.35">
      <c r="A6" s="26" t="s">
        <v>18</v>
      </c>
      <c r="B6" s="11">
        <v>526503</v>
      </c>
      <c r="C6" s="11">
        <v>1430908</v>
      </c>
      <c r="D6" s="11">
        <v>1165879</v>
      </c>
      <c r="E6" s="11">
        <v>1118137</v>
      </c>
      <c r="F6" s="11">
        <v>1089616</v>
      </c>
      <c r="G6" s="11">
        <v>1066408</v>
      </c>
      <c r="H6" s="11">
        <v>1016009</v>
      </c>
      <c r="I6" s="11">
        <v>963631</v>
      </c>
      <c r="J6" s="11">
        <v>1019685</v>
      </c>
      <c r="K6" s="11">
        <v>1034782</v>
      </c>
      <c r="L6" s="11">
        <v>997195</v>
      </c>
      <c r="M6" s="12">
        <v>851477</v>
      </c>
    </row>
    <row r="7" spans="1:13" x14ac:dyDescent="0.35">
      <c r="A7" s="26" t="s">
        <v>19</v>
      </c>
      <c r="B7" s="11"/>
      <c r="C7" s="11"/>
      <c r="D7" s="11"/>
      <c r="E7" s="11"/>
      <c r="F7" s="11"/>
      <c r="G7" s="11"/>
      <c r="H7" s="11"/>
      <c r="I7" s="11"/>
      <c r="J7" s="11"/>
      <c r="K7" s="11"/>
      <c r="L7" s="11"/>
      <c r="M7" s="12"/>
    </row>
    <row r="8" spans="1:13" x14ac:dyDescent="0.35">
      <c r="A8" s="26" t="s">
        <v>20</v>
      </c>
      <c r="B8" s="11">
        <v>21000</v>
      </c>
      <c r="C8" s="11">
        <v>26400</v>
      </c>
      <c r="D8" s="11">
        <v>25000</v>
      </c>
      <c r="E8" s="11">
        <v>27000</v>
      </c>
      <c r="F8" s="11">
        <v>27000</v>
      </c>
      <c r="G8" s="11">
        <v>55100</v>
      </c>
      <c r="H8" s="11">
        <v>29000</v>
      </c>
      <c r="I8" s="11">
        <v>26000</v>
      </c>
      <c r="J8" s="11">
        <v>25000</v>
      </c>
      <c r="K8" s="11">
        <v>24000</v>
      </c>
      <c r="L8" s="11">
        <v>139400</v>
      </c>
      <c r="M8" s="12">
        <v>23000</v>
      </c>
    </row>
    <row r="9" spans="1:13" x14ac:dyDescent="0.35">
      <c r="A9" s="26" t="s">
        <v>21</v>
      </c>
      <c r="B9" s="11">
        <v>105000</v>
      </c>
      <c r="C9" s="11">
        <v>105000</v>
      </c>
      <c r="D9" s="11">
        <v>105000</v>
      </c>
      <c r="E9" s="11">
        <v>105000</v>
      </c>
      <c r="F9" s="11">
        <v>105000</v>
      </c>
      <c r="G9" s="11">
        <v>0</v>
      </c>
      <c r="H9" s="11">
        <v>0</v>
      </c>
      <c r="I9" s="11">
        <v>0</v>
      </c>
      <c r="J9" s="11">
        <v>0</v>
      </c>
      <c r="K9" s="11">
        <v>0</v>
      </c>
      <c r="L9" s="11">
        <v>0</v>
      </c>
      <c r="M9" s="12">
        <v>0</v>
      </c>
    </row>
    <row r="10" spans="1:13" x14ac:dyDescent="0.35">
      <c r="A10" s="26" t="s">
        <v>22</v>
      </c>
      <c r="B10" s="11">
        <v>0</v>
      </c>
      <c r="C10" s="11">
        <v>0</v>
      </c>
      <c r="D10" s="11">
        <v>0</v>
      </c>
      <c r="E10" s="11">
        <v>0</v>
      </c>
      <c r="F10" s="11">
        <v>0</v>
      </c>
      <c r="G10" s="11">
        <v>0</v>
      </c>
      <c r="H10" s="11">
        <v>0</v>
      </c>
      <c r="I10" s="11">
        <v>0</v>
      </c>
      <c r="J10" s="11">
        <v>0</v>
      </c>
      <c r="K10" s="11">
        <v>0</v>
      </c>
      <c r="L10" s="11">
        <v>0</v>
      </c>
      <c r="M10" s="12">
        <v>0</v>
      </c>
    </row>
    <row r="11" spans="1:13" ht="15" thickBot="1" x14ac:dyDescent="0.4">
      <c r="A11" s="27" t="s">
        <v>23</v>
      </c>
      <c r="B11" s="15">
        <v>30533</v>
      </c>
      <c r="C11" s="15">
        <v>30533</v>
      </c>
      <c r="D11" s="15">
        <v>30533</v>
      </c>
      <c r="E11" s="15">
        <v>30533</v>
      </c>
      <c r="F11" s="15">
        <v>30533</v>
      </c>
      <c r="G11" s="15">
        <v>30533</v>
      </c>
      <c r="H11" s="15">
        <v>30533</v>
      </c>
      <c r="I11" s="15">
        <v>30533</v>
      </c>
      <c r="J11" s="15">
        <v>30533</v>
      </c>
      <c r="K11" s="15">
        <v>30533</v>
      </c>
      <c r="L11" s="15">
        <v>30533</v>
      </c>
      <c r="M11" s="28">
        <v>58111</v>
      </c>
    </row>
    <row r="12" spans="1:13" x14ac:dyDescent="0.35">
      <c r="A12" s="5" t="s">
        <v>24</v>
      </c>
      <c r="B12" s="29">
        <f t="shared" ref="B12:M12" si="0">SUM(B4:B11)</f>
        <v>1587662</v>
      </c>
      <c r="C12" s="29">
        <f t="shared" si="0"/>
        <v>2695534</v>
      </c>
      <c r="D12" s="29">
        <f t="shared" si="0"/>
        <v>2501904</v>
      </c>
      <c r="E12" s="29">
        <f t="shared" si="0"/>
        <v>2386543</v>
      </c>
      <c r="F12" s="29">
        <f t="shared" si="0"/>
        <v>2331905</v>
      </c>
      <c r="G12" s="29">
        <f t="shared" si="0"/>
        <v>2245389</v>
      </c>
      <c r="H12" s="29">
        <f t="shared" si="0"/>
        <v>2350745</v>
      </c>
      <c r="I12" s="29">
        <f t="shared" si="0"/>
        <v>2017720</v>
      </c>
      <c r="J12" s="29">
        <f t="shared" si="0"/>
        <v>2190970</v>
      </c>
      <c r="K12" s="29">
        <f t="shared" si="0"/>
        <v>2237949</v>
      </c>
      <c r="L12" s="29">
        <f t="shared" si="0"/>
        <v>2114299</v>
      </c>
      <c r="M12" s="29">
        <f t="shared" si="0"/>
        <v>2078770</v>
      </c>
    </row>
    <row r="14" spans="1:13" x14ac:dyDescent="0.35">
      <c r="B14" s="1">
        <v>45138</v>
      </c>
      <c r="C14" s="1">
        <v>45169</v>
      </c>
      <c r="D14" s="1">
        <v>45199</v>
      </c>
      <c r="E14" s="1">
        <v>45230</v>
      </c>
      <c r="F14" s="1">
        <v>45260</v>
      </c>
      <c r="G14" s="1">
        <v>45291</v>
      </c>
      <c r="H14" s="1">
        <v>45322</v>
      </c>
      <c r="I14" s="1">
        <v>45351</v>
      </c>
      <c r="J14" s="1">
        <v>45382</v>
      </c>
      <c r="K14" s="1">
        <v>45412</v>
      </c>
      <c r="L14" s="1">
        <v>45443</v>
      </c>
      <c r="M14" s="1">
        <v>45473</v>
      </c>
    </row>
    <row r="16" spans="1:13" x14ac:dyDescent="0.35">
      <c r="A16" s="5" t="s">
        <v>24</v>
      </c>
      <c r="B16" s="22">
        <f t="shared" ref="B16:M16" si="1">B12</f>
        <v>1587662</v>
      </c>
      <c r="C16" s="22">
        <f t="shared" si="1"/>
        <v>2695534</v>
      </c>
      <c r="D16" s="22">
        <f t="shared" si="1"/>
        <v>2501904</v>
      </c>
      <c r="E16" s="22">
        <f t="shared" si="1"/>
        <v>2386543</v>
      </c>
      <c r="F16" s="22">
        <f t="shared" si="1"/>
        <v>2331905</v>
      </c>
      <c r="G16" s="22">
        <f t="shared" si="1"/>
        <v>2245389</v>
      </c>
      <c r="H16" s="22">
        <f t="shared" si="1"/>
        <v>2350745</v>
      </c>
      <c r="I16" s="22">
        <f t="shared" si="1"/>
        <v>2017720</v>
      </c>
      <c r="J16" s="22">
        <f t="shared" si="1"/>
        <v>2190970</v>
      </c>
      <c r="K16" s="22">
        <f t="shared" si="1"/>
        <v>2237949</v>
      </c>
      <c r="L16" s="22">
        <f t="shared" si="1"/>
        <v>2114299</v>
      </c>
      <c r="M16" s="22">
        <f t="shared" si="1"/>
        <v>2078770</v>
      </c>
    </row>
  </sheetData>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804F6-40B2-4FEC-955C-8969B8438427}">
  <dimension ref="A1:B19"/>
  <sheetViews>
    <sheetView zoomScale="85" zoomScaleNormal="85" workbookViewId="0">
      <selection activeCell="K10" sqref="K10"/>
    </sheetView>
  </sheetViews>
  <sheetFormatPr defaultColWidth="9.1796875" defaultRowHeight="14.5" x14ac:dyDescent="0.35"/>
  <cols>
    <col min="1" max="1" width="31.81640625" bestFit="1" customWidth="1"/>
    <col min="2" max="2" width="15.26953125" bestFit="1" customWidth="1"/>
  </cols>
  <sheetData>
    <row r="1" spans="1:2" x14ac:dyDescent="0.35">
      <c r="B1" s="1" t="s">
        <v>25</v>
      </c>
    </row>
    <row r="3" spans="1:2" x14ac:dyDescent="0.35">
      <c r="A3" s="4" t="s">
        <v>28</v>
      </c>
      <c r="B3" s="22">
        <f>'Assets Data'!M18</f>
        <v>55814192</v>
      </c>
    </row>
    <row r="4" spans="1:2" x14ac:dyDescent="0.35">
      <c r="A4" s="4" t="s">
        <v>29</v>
      </c>
      <c r="B4" s="22">
        <f>'Liabilities Date'!M16</f>
        <v>2078770</v>
      </c>
    </row>
    <row r="5" spans="1:2" x14ac:dyDescent="0.35">
      <c r="A5" s="5"/>
    </row>
    <row r="6" spans="1:2" x14ac:dyDescent="0.35">
      <c r="A6" s="30" t="s">
        <v>30</v>
      </c>
      <c r="B6" s="29">
        <f>B3-B4</f>
        <v>53735422</v>
      </c>
    </row>
    <row r="8" spans="1:2" x14ac:dyDescent="0.35">
      <c r="A8" t="s">
        <v>31</v>
      </c>
      <c r="B8" s="31">
        <f>'Assets Data'!M6</f>
        <v>186789.48</v>
      </c>
    </row>
    <row r="9" spans="1:2" x14ac:dyDescent="0.35">
      <c r="A9" t="s">
        <v>32</v>
      </c>
      <c r="B9" s="31">
        <f>5000000</f>
        <v>5000000</v>
      </c>
    </row>
    <row r="10" spans="1:2" x14ac:dyDescent="0.35">
      <c r="A10" t="s">
        <v>12</v>
      </c>
      <c r="B10" s="31">
        <f>'Assets Data'!M15</f>
        <v>6618972</v>
      </c>
    </row>
    <row r="11" spans="1:2" x14ac:dyDescent="0.35">
      <c r="A11" t="s">
        <v>33</v>
      </c>
      <c r="B11" s="31">
        <v>50842.97</v>
      </c>
    </row>
    <row r="12" spans="1:2" x14ac:dyDescent="0.35">
      <c r="A12" t="s">
        <v>34</v>
      </c>
      <c r="B12" s="31">
        <v>-237948.36</v>
      </c>
    </row>
    <row r="13" spans="1:2" x14ac:dyDescent="0.35">
      <c r="A13" s="30" t="s">
        <v>35</v>
      </c>
      <c r="B13" s="32">
        <f>SUM(B8:B12)</f>
        <v>11618656.090000002</v>
      </c>
    </row>
    <row r="16" spans="1:2" x14ac:dyDescent="0.35">
      <c r="A16" s="30" t="s">
        <v>36</v>
      </c>
      <c r="B16" s="30" t="s">
        <v>37</v>
      </c>
    </row>
    <row r="17" spans="1:2" x14ac:dyDescent="0.35">
      <c r="A17" s="4" t="s">
        <v>26</v>
      </c>
      <c r="B17" s="34">
        <f>B6-B13</f>
        <v>42116765.909999996</v>
      </c>
    </row>
    <row r="18" spans="1:2" x14ac:dyDescent="0.35">
      <c r="A18" s="4" t="s">
        <v>27</v>
      </c>
      <c r="B18" s="34">
        <f>B13</f>
        <v>11618656.090000002</v>
      </c>
    </row>
    <row r="19" spans="1:2" x14ac:dyDescent="0.35">
      <c r="A19" s="30" t="s">
        <v>37</v>
      </c>
      <c r="B19" s="35">
        <f>SUM(B17:B18)</f>
        <v>53735422</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074FC-7430-4912-8D0E-16B59BA0AFFF}">
  <dimension ref="A10:G33"/>
  <sheetViews>
    <sheetView topLeftCell="A4" zoomScale="85" zoomScaleNormal="85" workbookViewId="0">
      <selection activeCell="B25" sqref="B25"/>
    </sheetView>
  </sheetViews>
  <sheetFormatPr defaultColWidth="9.1796875" defaultRowHeight="14.5" x14ac:dyDescent="0.35"/>
  <cols>
    <col min="1" max="1" width="55.453125" bestFit="1" customWidth="1"/>
    <col min="2" max="2" width="14.26953125" bestFit="1" customWidth="1"/>
    <col min="3" max="3" width="13.54296875" bestFit="1" customWidth="1"/>
    <col min="4" max="4" width="13.26953125" customWidth="1"/>
    <col min="5" max="5" width="14.453125" bestFit="1" customWidth="1"/>
    <col min="6" max="6" width="44.1796875" bestFit="1" customWidth="1"/>
  </cols>
  <sheetData>
    <row r="10" spans="1:7" x14ac:dyDescent="0.35">
      <c r="B10" s="38"/>
      <c r="C10" s="38"/>
      <c r="D10" s="38"/>
      <c r="E10" s="38"/>
    </row>
    <row r="11" spans="1:7" ht="25" x14ac:dyDescent="0.35">
      <c r="B11" s="39" t="s">
        <v>44</v>
      </c>
      <c r="C11" s="41" t="s">
        <v>45</v>
      </c>
      <c r="D11" s="41" t="s">
        <v>55</v>
      </c>
      <c r="E11" s="40"/>
    </row>
    <row r="12" spans="1:7" ht="15" thickBot="1" x14ac:dyDescent="0.4">
      <c r="A12" s="37" t="s">
        <v>38</v>
      </c>
      <c r="B12" s="39" t="s">
        <v>46</v>
      </c>
      <c r="C12" s="39" t="s">
        <v>46</v>
      </c>
      <c r="D12" s="39" t="s">
        <v>56</v>
      </c>
      <c r="E12" s="39" t="s">
        <v>37</v>
      </c>
    </row>
    <row r="13" spans="1:7" x14ac:dyDescent="0.35">
      <c r="A13" s="43" t="s">
        <v>47</v>
      </c>
      <c r="B13" s="57">
        <v>3635972</v>
      </c>
      <c r="C13" s="48">
        <v>5152015</v>
      </c>
      <c r="D13" s="48">
        <v>32677</v>
      </c>
      <c r="E13" s="49">
        <f>B13+C13+D13</f>
        <v>8820664</v>
      </c>
      <c r="F13" t="s">
        <v>47</v>
      </c>
    </row>
    <row r="14" spans="1:7" x14ac:dyDescent="0.35">
      <c r="A14" s="44" t="s">
        <v>48</v>
      </c>
      <c r="B14" s="58">
        <v>297642</v>
      </c>
      <c r="C14" s="59">
        <v>0</v>
      </c>
      <c r="D14" s="59">
        <v>0</v>
      </c>
      <c r="E14" s="60">
        <f>B14+C14+D14</f>
        <v>297642</v>
      </c>
      <c r="F14" t="s">
        <v>60</v>
      </c>
    </row>
    <row r="15" spans="1:7" x14ac:dyDescent="0.35">
      <c r="A15" s="44" t="s">
        <v>49</v>
      </c>
      <c r="B15" s="58">
        <f>8287594+4994156</f>
        <v>13281750</v>
      </c>
      <c r="C15" s="59">
        <v>0</v>
      </c>
      <c r="D15" s="59">
        <v>0</v>
      </c>
      <c r="E15" s="60">
        <f t="shared" ref="E15:E19" si="0">B15+C15+D15</f>
        <v>13281750</v>
      </c>
      <c r="F15" t="s">
        <v>49</v>
      </c>
    </row>
    <row r="16" spans="1:7" x14ac:dyDescent="0.35">
      <c r="A16" s="44" t="s">
        <v>50</v>
      </c>
      <c r="B16" s="61">
        <v>33675325</v>
      </c>
      <c r="C16" s="59">
        <v>25000</v>
      </c>
      <c r="D16" s="59">
        <v>0</v>
      </c>
      <c r="E16" s="60">
        <f t="shared" si="0"/>
        <v>33700325</v>
      </c>
      <c r="F16" t="s">
        <v>61</v>
      </c>
      <c r="G16" s="33"/>
    </row>
    <row r="17" spans="1:6" x14ac:dyDescent="0.35">
      <c r="A17" s="44" t="s">
        <v>51</v>
      </c>
      <c r="B17" s="58">
        <v>515585</v>
      </c>
      <c r="C17" s="59">
        <v>0</v>
      </c>
      <c r="D17" s="59">
        <v>0</v>
      </c>
      <c r="E17" s="60">
        <f t="shared" si="0"/>
        <v>515585</v>
      </c>
      <c r="F17" t="s">
        <v>60</v>
      </c>
    </row>
    <row r="18" spans="1:6" x14ac:dyDescent="0.35">
      <c r="A18" s="44" t="s">
        <v>52</v>
      </c>
      <c r="B18" s="58">
        <v>19443</v>
      </c>
      <c r="C18" s="59">
        <v>0</v>
      </c>
      <c r="D18" s="59">
        <v>0</v>
      </c>
      <c r="E18" s="60">
        <f t="shared" si="0"/>
        <v>19443</v>
      </c>
      <c r="F18" t="s">
        <v>60</v>
      </c>
    </row>
    <row r="19" spans="1:6" ht="15" thickBot="1" x14ac:dyDescent="0.4">
      <c r="A19" s="45" t="s">
        <v>53</v>
      </c>
      <c r="B19" s="62">
        <v>780474</v>
      </c>
      <c r="C19" s="51">
        <v>-780474</v>
      </c>
      <c r="D19" s="51">
        <v>0</v>
      </c>
      <c r="E19" s="52">
        <f t="shared" si="0"/>
        <v>0</v>
      </c>
      <c r="F19" t="s">
        <v>60</v>
      </c>
    </row>
    <row r="20" spans="1:6" x14ac:dyDescent="0.35">
      <c r="A20" s="37" t="s">
        <v>54</v>
      </c>
      <c r="B20" s="42">
        <f>SUM(B13:B19)</f>
        <v>52206191</v>
      </c>
      <c r="C20" s="42">
        <f t="shared" ref="C20:E20" si="1">SUM(C13:C19)</f>
        <v>4396541</v>
      </c>
      <c r="D20" s="42">
        <f t="shared" si="1"/>
        <v>32677</v>
      </c>
      <c r="E20" s="42">
        <f t="shared" si="1"/>
        <v>56635409</v>
      </c>
    </row>
    <row r="22" spans="1:6" ht="15" thickBot="1" x14ac:dyDescent="0.4">
      <c r="A22" s="37" t="s">
        <v>57</v>
      </c>
    </row>
    <row r="23" spans="1:6" x14ac:dyDescent="0.35">
      <c r="A23" s="55" t="s">
        <v>58</v>
      </c>
      <c r="B23" s="47">
        <v>115928</v>
      </c>
      <c r="C23" s="48">
        <v>817675</v>
      </c>
      <c r="D23" s="48"/>
      <c r="E23" s="49">
        <f>SUM(B23:D23)</f>
        <v>933603</v>
      </c>
    </row>
    <row r="24" spans="1:6" ht="15" thickBot="1" x14ac:dyDescent="0.4">
      <c r="A24" s="56" t="s">
        <v>59</v>
      </c>
      <c r="B24" s="50">
        <v>3664292</v>
      </c>
      <c r="C24" s="51"/>
      <c r="D24" s="51"/>
      <c r="E24" s="52">
        <f t="shared" ref="E24:E25" si="2">SUM(B24:D24)</f>
        <v>3664292</v>
      </c>
    </row>
    <row r="25" spans="1:6" x14ac:dyDescent="0.35">
      <c r="A25" s="37" t="s">
        <v>57</v>
      </c>
      <c r="B25" s="53">
        <f>B23+B24</f>
        <v>3780220</v>
      </c>
      <c r="C25" s="53">
        <f t="shared" ref="C25:D25" si="3">C23+C24</f>
        <v>817675</v>
      </c>
      <c r="D25" s="53">
        <f t="shared" si="3"/>
        <v>0</v>
      </c>
      <c r="E25" s="54">
        <f t="shared" si="2"/>
        <v>4597895</v>
      </c>
    </row>
    <row r="28" spans="1:6" x14ac:dyDescent="0.35">
      <c r="A28" s="63" t="s">
        <v>64</v>
      </c>
      <c r="B28" s="63" t="s">
        <v>37</v>
      </c>
    </row>
    <row r="29" spans="1:6" x14ac:dyDescent="0.35">
      <c r="A29" t="s">
        <v>47</v>
      </c>
      <c r="B29" s="31">
        <f>SUMIF($F$13:$F$19,A29,$E$13:$E$19)</f>
        <v>8820664</v>
      </c>
    </row>
    <row r="30" spans="1:6" x14ac:dyDescent="0.35">
      <c r="A30" t="s">
        <v>60</v>
      </c>
      <c r="B30" s="31">
        <f t="shared" ref="B30" si="4">SUMIF($F$13:$F$19,A30,$E$13:$E$19)</f>
        <v>832670</v>
      </c>
    </row>
    <row r="31" spans="1:6" x14ac:dyDescent="0.35">
      <c r="A31" t="s">
        <v>61</v>
      </c>
      <c r="B31" s="31">
        <f>SUMIF($F$13:$F$24,A31,$E$13:$E$24)</f>
        <v>33700325</v>
      </c>
    </row>
    <row r="32" spans="1:6" x14ac:dyDescent="0.35">
      <c r="A32" t="s">
        <v>49</v>
      </c>
      <c r="B32" s="31">
        <f>SUMIF($F$13:$F$24,A32,$E$13:$E$24)</f>
        <v>13281750</v>
      </c>
    </row>
    <row r="33" spans="2:2" x14ac:dyDescent="0.35">
      <c r="B33" s="31">
        <f>SUM(B29:B32)</f>
        <v>56635409</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80B9A-1218-4F7F-8360-4D8AAC0C011A}">
  <dimension ref="A3:B12"/>
  <sheetViews>
    <sheetView workbookViewId="0">
      <selection activeCell="AC31" sqref="AC31"/>
    </sheetView>
  </sheetViews>
  <sheetFormatPr defaultRowHeight="14.5" x14ac:dyDescent="0.35"/>
  <cols>
    <col min="1" max="1" width="44.1796875" bestFit="1" customWidth="1"/>
    <col min="2" max="2" width="14.26953125" bestFit="1" customWidth="1"/>
  </cols>
  <sheetData>
    <row r="3" spans="1:2" x14ac:dyDescent="0.35">
      <c r="A3" s="64" t="s">
        <v>63</v>
      </c>
      <c r="B3" t="s">
        <v>111</v>
      </c>
    </row>
    <row r="4" spans="1:2" x14ac:dyDescent="0.35">
      <c r="A4" s="80" t="s">
        <v>49</v>
      </c>
      <c r="B4" s="33">
        <v>13281750</v>
      </c>
    </row>
    <row r="5" spans="1:2" x14ac:dyDescent="0.35">
      <c r="A5" s="80" t="s">
        <v>47</v>
      </c>
      <c r="B5" s="33">
        <v>8820664</v>
      </c>
    </row>
    <row r="6" spans="1:2" x14ac:dyDescent="0.35">
      <c r="A6" s="80" t="s">
        <v>61</v>
      </c>
      <c r="B6" s="33">
        <v>33700325</v>
      </c>
    </row>
    <row r="7" spans="1:2" x14ac:dyDescent="0.35">
      <c r="A7" s="80" t="s">
        <v>60</v>
      </c>
      <c r="B7" s="33">
        <v>832670</v>
      </c>
    </row>
    <row r="8" spans="1:2" x14ac:dyDescent="0.35">
      <c r="A8" s="80" t="s">
        <v>62</v>
      </c>
      <c r="B8" s="33">
        <v>56635409</v>
      </c>
    </row>
    <row r="10" spans="1:2" x14ac:dyDescent="0.35">
      <c r="B10" s="81">
        <f>GETPIVOTDATA("Total",$A$3)</f>
        <v>56635409</v>
      </c>
    </row>
    <row r="11" spans="1:2" x14ac:dyDescent="0.35">
      <c r="B11" s="67">
        <f>B10/'Revenue Data'!$E$20</f>
        <v>1</v>
      </c>
    </row>
    <row r="12" spans="1:2" x14ac:dyDescent="0.35">
      <c r="B12" s="66">
        <f>B10</f>
        <v>56635409</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F65BA-A387-48D4-B9B2-B268137D54FE}">
  <dimension ref="A2:C12"/>
  <sheetViews>
    <sheetView workbookViewId="0">
      <selection activeCell="A37" sqref="A37"/>
    </sheetView>
  </sheetViews>
  <sheetFormatPr defaultColWidth="9.1796875" defaultRowHeight="14.5" x14ac:dyDescent="0.35"/>
  <cols>
    <col min="1" max="1" width="36" bestFit="1" customWidth="1"/>
    <col min="2" max="2" width="14.26953125" bestFit="1" customWidth="1"/>
    <col min="3" max="3" width="36.54296875" bestFit="1" customWidth="1"/>
  </cols>
  <sheetData>
    <row r="2" spans="1:3" x14ac:dyDescent="0.35">
      <c r="A2" s="36" t="s">
        <v>39</v>
      </c>
    </row>
    <row r="3" spans="1:3" x14ac:dyDescent="0.35">
      <c r="A3" s="36" t="s">
        <v>40</v>
      </c>
      <c r="B3" s="70">
        <v>20353031</v>
      </c>
      <c r="C3" s="36" t="s">
        <v>66</v>
      </c>
    </row>
    <row r="4" spans="1:3" x14ac:dyDescent="0.35">
      <c r="A4" s="36" t="s">
        <v>41</v>
      </c>
      <c r="B4" s="70">
        <v>18533193</v>
      </c>
      <c r="C4" s="36" t="s">
        <v>67</v>
      </c>
    </row>
    <row r="5" spans="1:3" x14ac:dyDescent="0.35">
      <c r="A5" s="36" t="s">
        <v>42</v>
      </c>
      <c r="B5" s="70">
        <v>77616</v>
      </c>
      <c r="C5" s="36" t="s">
        <v>68</v>
      </c>
    </row>
    <row r="6" spans="1:3" x14ac:dyDescent="0.35">
      <c r="A6" s="36" t="s">
        <v>43</v>
      </c>
      <c r="B6" s="71">
        <f>4560822+7</f>
        <v>4560829</v>
      </c>
      <c r="C6" s="36" t="s">
        <v>68</v>
      </c>
    </row>
    <row r="7" spans="1:3" x14ac:dyDescent="0.35">
      <c r="A7" s="36" t="s">
        <v>65</v>
      </c>
      <c r="B7" s="46">
        <f>SUM(B3:B6)</f>
        <v>43524669</v>
      </c>
    </row>
    <row r="9" spans="1:3" x14ac:dyDescent="0.35">
      <c r="A9" s="37" t="s">
        <v>69</v>
      </c>
      <c r="B9" s="30" t="s">
        <v>37</v>
      </c>
    </row>
    <row r="10" spans="1:3" x14ac:dyDescent="0.35">
      <c r="A10" s="36" t="s">
        <v>66</v>
      </c>
      <c r="B10" s="31">
        <f>SUMIF($C$3:$C$6,A10,$B$3:$B$6)</f>
        <v>20353031</v>
      </c>
    </row>
    <row r="11" spans="1:3" x14ac:dyDescent="0.35">
      <c r="A11" s="36" t="s">
        <v>67</v>
      </c>
      <c r="B11" s="31">
        <f>SUMIF($C$3:$C$6,A11,$B$3:$B$6)</f>
        <v>18533193</v>
      </c>
      <c r="C11" s="68">
        <f>B11/B7</f>
        <v>0.42580893607714743</v>
      </c>
    </row>
    <row r="12" spans="1:3" x14ac:dyDescent="0.35">
      <c r="A12" s="36" t="s">
        <v>68</v>
      </c>
      <c r="B12" s="31">
        <f>SUMIF($C$3:$C$6,A12,$B$3:$B$6)</f>
        <v>4638445</v>
      </c>
      <c r="C12" s="67">
        <f>B12/B7</f>
        <v>0.10657048305180677</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48C5D-47DB-4404-B986-30584775199C}">
  <dimension ref="A1:M6"/>
  <sheetViews>
    <sheetView workbookViewId="0">
      <selection activeCell="C30" sqref="C30"/>
    </sheetView>
  </sheetViews>
  <sheetFormatPr defaultColWidth="9.1796875" defaultRowHeight="14.5" x14ac:dyDescent="0.35"/>
  <cols>
    <col min="1" max="1" width="36" bestFit="1" customWidth="1"/>
    <col min="2" max="4" width="14.26953125" bestFit="1" customWidth="1"/>
    <col min="5" max="13" width="15.26953125" bestFit="1" customWidth="1"/>
  </cols>
  <sheetData>
    <row r="1" spans="1:13" x14ac:dyDescent="0.35">
      <c r="A1" s="36" t="s">
        <v>39</v>
      </c>
      <c r="B1" s="1">
        <v>45138</v>
      </c>
      <c r="C1" s="1">
        <v>45169</v>
      </c>
      <c r="D1" s="1">
        <v>45199</v>
      </c>
      <c r="E1" s="1">
        <v>45230</v>
      </c>
      <c r="F1" s="1">
        <v>45260</v>
      </c>
      <c r="G1" s="1">
        <v>45291</v>
      </c>
      <c r="H1" s="1">
        <v>45322</v>
      </c>
      <c r="I1" s="1">
        <v>45351</v>
      </c>
      <c r="J1" s="1">
        <v>45382</v>
      </c>
      <c r="K1" s="1">
        <v>45412</v>
      </c>
      <c r="L1" s="1">
        <v>45443</v>
      </c>
      <c r="M1" s="1">
        <v>45473</v>
      </c>
    </row>
    <row r="2" spans="1:13" x14ac:dyDescent="0.35">
      <c r="A2" s="36" t="s">
        <v>40</v>
      </c>
      <c r="B2" s="81">
        <v>1337117.0493793909</v>
      </c>
      <c r="C2" s="81">
        <v>2778430.0987587818</v>
      </c>
      <c r="D2" s="81">
        <v>4328946.1481381729</v>
      </c>
      <c r="E2" s="81">
        <v>5772711.1975175636</v>
      </c>
      <c r="F2" s="81">
        <v>7268748.2468969543</v>
      </c>
      <c r="G2" s="81">
        <v>8808429.7037236542</v>
      </c>
      <c r="H2" s="82">
        <v>10362895.753103046</v>
      </c>
      <c r="I2" s="81">
        <v>11930856.802482437</v>
      </c>
      <c r="J2" s="81">
        <v>13690979.851861827</v>
      </c>
      <c r="K2" s="81">
        <v>15347617.901241219</v>
      </c>
      <c r="L2" s="81">
        <v>16954648.950620607</v>
      </c>
      <c r="M2" s="81">
        <v>20353040</v>
      </c>
    </row>
    <row r="3" spans="1:13" x14ac:dyDescent="0.35">
      <c r="A3" s="36" t="s">
        <v>41</v>
      </c>
      <c r="B3" s="81">
        <v>882299.68945539067</v>
      </c>
      <c r="C3" s="81">
        <v>2222563.3789107813</v>
      </c>
      <c r="D3" s="81">
        <v>3862080.0683661723</v>
      </c>
      <c r="E3" s="81">
        <v>5638212.7578215627</v>
      </c>
      <c r="F3" s="81">
        <v>7364547.4472769536</v>
      </c>
      <c r="G3" s="81">
        <v>8942436.8632676564</v>
      </c>
      <c r="H3" s="82">
        <v>10716825.552723046</v>
      </c>
      <c r="I3" s="81">
        <v>12428448.242178436</v>
      </c>
      <c r="J3" s="81">
        <v>14028080.931633828</v>
      </c>
      <c r="K3" s="81">
        <v>15737034.621089218</v>
      </c>
      <c r="L3" s="81">
        <v>17447135.31054461</v>
      </c>
      <c r="M3" s="81">
        <v>18533193</v>
      </c>
    </row>
    <row r="4" spans="1:13" x14ac:dyDescent="0.35">
      <c r="A4" s="36" t="s">
        <v>42</v>
      </c>
      <c r="B4" s="81">
        <v>6216.5833557170763</v>
      </c>
      <c r="C4" s="81">
        <v>12541.166711434153</v>
      </c>
      <c r="D4" s="81">
        <v>18857.750067151228</v>
      </c>
      <c r="E4" s="81">
        <v>25979.333422868305</v>
      </c>
      <c r="F4" s="81">
        <v>33442.916778585379</v>
      </c>
      <c r="G4" s="81">
        <v>39985.499865697544</v>
      </c>
      <c r="H4" s="82">
        <v>46427.083221414621</v>
      </c>
      <c r="I4" s="81">
        <v>51070.666577131691</v>
      </c>
      <c r="J4" s="81">
        <v>57884.249932848768</v>
      </c>
      <c r="K4" s="81">
        <v>64760.833288565846</v>
      </c>
      <c r="L4" s="81">
        <v>71070.41664428293</v>
      </c>
      <c r="M4" s="81">
        <v>77616</v>
      </c>
    </row>
    <row r="5" spans="1:13" x14ac:dyDescent="0.35">
      <c r="A5" s="36" t="s">
        <v>43</v>
      </c>
      <c r="B5" s="81">
        <v>364053.6778095013</v>
      </c>
      <c r="C5" s="81">
        <v>778595.3556190026</v>
      </c>
      <c r="D5" s="81">
        <v>1209013.0334285039</v>
      </c>
      <c r="E5" s="81">
        <v>1541189.7112380052</v>
      </c>
      <c r="F5" s="81">
        <v>1973675.3890475065</v>
      </c>
      <c r="G5" s="81">
        <v>2447145.9331429922</v>
      </c>
      <c r="H5" s="83">
        <v>2770405.6109524937</v>
      </c>
      <c r="I5" s="81">
        <v>3125029.2887619948</v>
      </c>
      <c r="J5" s="81">
        <v>3459706.9665714959</v>
      </c>
      <c r="K5" s="81">
        <v>3884845.6443809974</v>
      </c>
      <c r="L5" s="81">
        <v>4246211.3221904989</v>
      </c>
      <c r="M5" s="81">
        <v>4560820</v>
      </c>
    </row>
    <row r="6" spans="1:13" x14ac:dyDescent="0.35">
      <c r="A6" s="36" t="s">
        <v>37</v>
      </c>
      <c r="B6" s="29">
        <f>SUM(B2:B5)</f>
        <v>2589687</v>
      </c>
      <c r="C6" s="29">
        <f t="shared" ref="C6:M6" si="0">SUM(C2:C5)</f>
        <v>5792130</v>
      </c>
      <c r="D6" s="29">
        <f t="shared" si="0"/>
        <v>9418897</v>
      </c>
      <c r="E6" s="29">
        <f t="shared" si="0"/>
        <v>12978093</v>
      </c>
      <c r="F6" s="29">
        <f t="shared" si="0"/>
        <v>16640414</v>
      </c>
      <c r="G6" s="29">
        <f t="shared" si="0"/>
        <v>20237998</v>
      </c>
      <c r="H6" s="29">
        <f t="shared" si="0"/>
        <v>23896553.999999996</v>
      </c>
      <c r="I6" s="29">
        <f t="shared" si="0"/>
        <v>27535405</v>
      </c>
      <c r="J6" s="29">
        <f t="shared" si="0"/>
        <v>31236652</v>
      </c>
      <c r="K6" s="29">
        <f t="shared" si="0"/>
        <v>35034259</v>
      </c>
      <c r="L6" s="29">
        <f t="shared" si="0"/>
        <v>38719066</v>
      </c>
      <c r="M6" s="29">
        <f t="shared" si="0"/>
        <v>43524669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029CC-B5FF-42CE-B943-66D284D89026}">
  <dimension ref="A1:B11"/>
  <sheetViews>
    <sheetView workbookViewId="0">
      <selection activeCell="AC31" sqref="AC31"/>
    </sheetView>
  </sheetViews>
  <sheetFormatPr defaultColWidth="9.1796875" defaultRowHeight="14.5" x14ac:dyDescent="0.35"/>
  <cols>
    <col min="1" max="1" width="14.26953125" bestFit="1" customWidth="1"/>
    <col min="2" max="2" width="7" bestFit="1" customWidth="1"/>
  </cols>
  <sheetData>
    <row r="1" spans="1:2" x14ac:dyDescent="0.35">
      <c r="A1" s="64" t="s">
        <v>69</v>
      </c>
      <c r="B1" t="s">
        <v>110</v>
      </c>
    </row>
    <row r="3" spans="1:2" x14ac:dyDescent="0.35">
      <c r="A3" s="64" t="s">
        <v>63</v>
      </c>
    </row>
    <row r="4" spans="1:2" x14ac:dyDescent="0.35">
      <c r="A4" s="65">
        <v>18533193</v>
      </c>
    </row>
    <row r="5" spans="1:2" x14ac:dyDescent="0.35">
      <c r="A5" s="65">
        <v>20353031</v>
      </c>
    </row>
    <row r="6" spans="1:2" x14ac:dyDescent="0.35">
      <c r="A6" s="65">
        <v>4638445</v>
      </c>
    </row>
    <row r="7" spans="1:2" x14ac:dyDescent="0.35">
      <c r="A7" s="65" t="s">
        <v>62</v>
      </c>
    </row>
    <row r="9" spans="1:2" x14ac:dyDescent="0.35">
      <c r="A9" s="33">
        <f>SUM(A4:A6)</f>
        <v>43524669</v>
      </c>
    </row>
    <row r="10" spans="1:2" x14ac:dyDescent="0.35">
      <c r="A10" s="66">
        <f>A9</f>
        <v>43524669</v>
      </c>
    </row>
    <row r="11" spans="1:2" x14ac:dyDescent="0.35">
      <c r="A11" s="67">
        <f>A10/'Expenses Data'!B7</f>
        <v>1</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9545C-5305-45A5-B393-502ED4D794FD}">
  <dimension ref="A2:B12"/>
  <sheetViews>
    <sheetView workbookViewId="0">
      <selection activeCell="K10" sqref="K10"/>
    </sheetView>
  </sheetViews>
  <sheetFormatPr defaultColWidth="9.1796875" defaultRowHeight="14.5" x14ac:dyDescent="0.35"/>
  <cols>
    <col min="1" max="1" width="27.54296875" bestFit="1" customWidth="1"/>
    <col min="2" max="2" width="14.26953125" bestFit="1" customWidth="1"/>
  </cols>
  <sheetData>
    <row r="2" spans="1:2" x14ac:dyDescent="0.35">
      <c r="A2" t="s">
        <v>72</v>
      </c>
      <c r="B2" s="31">
        <f>'Expenses Data'!B3+'Expenses Data'!B4+'Expenses Data'!B5</f>
        <v>38963840</v>
      </c>
    </row>
    <row r="3" spans="1:2" x14ac:dyDescent="0.35">
      <c r="A3" t="s">
        <v>73</v>
      </c>
      <c r="B3" s="31">
        <v>-8132794</v>
      </c>
    </row>
    <row r="4" spans="1:2" x14ac:dyDescent="0.35">
      <c r="A4" t="s">
        <v>74</v>
      </c>
      <c r="B4" s="33">
        <f>SUM(B2:B3)</f>
        <v>30831046</v>
      </c>
    </row>
    <row r="6" spans="1:2" x14ac:dyDescent="0.35">
      <c r="A6" t="s">
        <v>75</v>
      </c>
      <c r="B6" s="31">
        <f>'Expenses Data'!B6</f>
        <v>4560829</v>
      </c>
    </row>
    <row r="7" spans="1:2" x14ac:dyDescent="0.35">
      <c r="A7" t="s">
        <v>73</v>
      </c>
      <c r="B7" s="31">
        <v>-154800</v>
      </c>
    </row>
    <row r="8" spans="1:2" x14ac:dyDescent="0.35">
      <c r="A8" t="s">
        <v>76</v>
      </c>
      <c r="B8" s="31">
        <f>SUM(B6:B7)</f>
        <v>4406029</v>
      </c>
    </row>
    <row r="10" spans="1:2" x14ac:dyDescent="0.35">
      <c r="A10" t="s">
        <v>74</v>
      </c>
      <c r="B10" s="33">
        <f>B4</f>
        <v>30831046</v>
      </c>
    </row>
    <row r="11" spans="1:2" x14ac:dyDescent="0.35">
      <c r="A11" t="s">
        <v>76</v>
      </c>
      <c r="B11" s="33">
        <f>B8</f>
        <v>4406029</v>
      </c>
    </row>
    <row r="12" spans="1:2" x14ac:dyDescent="0.35">
      <c r="A12" t="s">
        <v>77</v>
      </c>
      <c r="B12" s="69">
        <f>B11/B10</f>
        <v>0.14290883935627743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Assets Data</vt:lpstr>
      <vt:lpstr>Liabilities Date</vt:lpstr>
      <vt:lpstr>Net Assets</vt:lpstr>
      <vt:lpstr>Revenue Data</vt:lpstr>
      <vt:lpstr>Revenue PV</vt:lpstr>
      <vt:lpstr>Expenses Data</vt:lpstr>
      <vt:lpstr>Expenses Data Luna</vt:lpstr>
      <vt:lpstr>Expenses PV</vt:lpstr>
      <vt:lpstr>Admin Ratio</vt:lpstr>
      <vt:lpstr>Cash Analysis</vt:lpstr>
      <vt:lpstr>Cash PV</vt:lpstr>
      <vt:lpstr>Luna Analysis</vt:lpstr>
      <vt:lpstr>LUNA CASH</vt:lpstr>
      <vt:lpstr>Dashboard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German Lasso</dc:creator>
  <cp:lastModifiedBy>Iani Carvalho</cp:lastModifiedBy>
  <dcterms:created xsi:type="dcterms:W3CDTF">2024-10-17T16:03:54Z</dcterms:created>
  <dcterms:modified xsi:type="dcterms:W3CDTF">2025-03-11T18:49:17Z</dcterms:modified>
</cp:coreProperties>
</file>